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lgwfile01\各課共有\税務課\町民税係\住民\国保\国保税試算ツール\"/>
    </mc:Choice>
  </mc:AlternateContent>
  <xr:revisionPtr revIDLastSave="0" documentId="13_ncr:1_{63467B66-3AE9-41B5-82EF-6C0849C11325}" xr6:coauthVersionLast="36" xr6:coauthVersionMax="36" xr10:uidLastSave="{00000000-0000-0000-0000-000000000000}"/>
  <bookViews>
    <workbookView xWindow="0" yWindow="0" windowWidth="19560" windowHeight="8040" firstSheet="3" activeTab="3" xr2:uid="{3364EE35-E5F6-420A-BCF5-F67416029C3F}"/>
  </bookViews>
  <sheets>
    <sheet name="①" sheetId="1" state="hidden" r:id="rId1"/>
    <sheet name="試算" sheetId="3" state="hidden" r:id="rId2"/>
    <sheet name="料率等" sheetId="4" state="hidden" r:id="rId3"/>
    <sheet name="試算シート" sheetId="5" r:id="rId4"/>
  </sheets>
  <definedNames>
    <definedName name="_xlnm.Print_Area" localSheetId="3">試算シート!$A$1:$F$41</definedName>
    <definedName name="Z_14298813_7872_4CE0_BBAF_FBF5FE57D512_.wvu.PrintArea" localSheetId="3" hidden="1">試算シート!$A$1:$F$39</definedName>
  </definedNames>
  <calcPr calcId="191029"/>
  <customWorkbookViews>
    <customWorkbookView name="国保試算" guid="{14298813-7872-4CE0-BBAF-FBF5FE57D512}" maximized="1" xWindow="-8" yWindow="-8" windowWidth="1320" windowHeight="784" activeSheetId="5" showFormulaBar="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2" i="3" l="1"/>
  <c r="B22" i="3" l="1"/>
  <c r="C9" i="3"/>
  <c r="D9" i="3"/>
  <c r="E9" i="3"/>
  <c r="C10" i="3"/>
  <c r="D10" i="3"/>
  <c r="E10" i="3"/>
  <c r="C5" i="3"/>
  <c r="K5" i="3" s="1"/>
  <c r="D5" i="3"/>
  <c r="E5" i="3"/>
  <c r="C6" i="3"/>
  <c r="D6" i="3"/>
  <c r="E6" i="3"/>
  <c r="C7" i="3"/>
  <c r="D7" i="3"/>
  <c r="E7" i="3"/>
  <c r="C8" i="3"/>
  <c r="D8" i="3"/>
  <c r="E8" i="3"/>
  <c r="B6" i="3"/>
  <c r="J6" i="3" s="1"/>
  <c r="B7" i="3"/>
  <c r="J7" i="3" s="1"/>
  <c r="B8" i="3"/>
  <c r="J8" i="3" s="1"/>
  <c r="B9" i="3"/>
  <c r="J9" i="3" s="1"/>
  <c r="T9" i="3" s="1"/>
  <c r="V9" i="3" s="1"/>
  <c r="B10" i="3"/>
  <c r="G36" i="3" l="1"/>
  <c r="J10" i="3"/>
  <c r="T10" i="3" s="1"/>
  <c r="V10" i="3" s="1"/>
  <c r="J5" i="3"/>
  <c r="I5" i="3"/>
  <c r="Q5" i="3"/>
  <c r="P5" i="3"/>
  <c r="Q9" i="3"/>
  <c r="G35" i="3"/>
  <c r="Q8" i="3"/>
  <c r="Q7" i="3"/>
  <c r="R10" i="3"/>
  <c r="S10" i="3"/>
  <c r="Q10" i="3"/>
  <c r="Q6" i="3"/>
  <c r="R9" i="3"/>
  <c r="S9" i="3"/>
  <c r="R8" i="3"/>
  <c r="S8" i="3"/>
  <c r="R7" i="3"/>
  <c r="S7" i="3"/>
  <c r="S6" i="3"/>
  <c r="R6" i="3"/>
  <c r="S5" i="3"/>
  <c r="R5" i="3"/>
  <c r="O9" i="3"/>
  <c r="O8" i="3"/>
  <c r="T8" i="3" s="1"/>
  <c r="V8" i="3" s="1"/>
  <c r="O7" i="3"/>
  <c r="B23" i="3"/>
  <c r="B37" i="5" s="1"/>
  <c r="B24" i="3"/>
  <c r="B25" i="3" s="1"/>
  <c r="O6" i="3"/>
  <c r="T6" i="3" s="1"/>
  <c r="O5" i="3"/>
  <c r="O10" i="3"/>
  <c r="T7" i="3" l="1"/>
  <c r="V7" i="3" s="1"/>
  <c r="V6" i="3"/>
  <c r="M35" i="3"/>
  <c r="J35" i="3"/>
  <c r="M36" i="3"/>
  <c r="J36" i="3"/>
  <c r="T5" i="3"/>
  <c r="V5" i="3" s="1"/>
  <c r="N5" i="3"/>
  <c r="C2" i="3" s="1"/>
  <c r="B16" i="3"/>
  <c r="U5" i="3"/>
  <c r="B31" i="3"/>
  <c r="T30" i="3"/>
  <c r="E26" i="3" l="1"/>
  <c r="C11" i="5"/>
  <c r="G31" i="3"/>
  <c r="C31" i="3"/>
  <c r="I15" i="3"/>
  <c r="K15" i="3" s="1"/>
  <c r="B18" i="3" l="1"/>
  <c r="B15" i="3"/>
  <c r="I6" i="3"/>
  <c r="I7" i="3"/>
  <c r="I8" i="3"/>
  <c r="I9" i="3"/>
  <c r="I10" i="3"/>
  <c r="K6" i="3"/>
  <c r="K7" i="3"/>
  <c r="K8" i="3"/>
  <c r="K9" i="3"/>
  <c r="K10" i="3"/>
  <c r="G5" i="1"/>
  <c r="U9" i="3" l="1"/>
  <c r="B36" i="3"/>
  <c r="D36" i="3" s="1"/>
  <c r="U10" i="3"/>
  <c r="B32" i="3"/>
  <c r="U6" i="3"/>
  <c r="B34" i="3"/>
  <c r="U8" i="3"/>
  <c r="G34" i="3" s="1"/>
  <c r="B33" i="3"/>
  <c r="U7" i="3"/>
  <c r="G33" i="3" s="1"/>
  <c r="C35" i="3"/>
  <c r="B35" i="3"/>
  <c r="C34" i="3"/>
  <c r="C33" i="3"/>
  <c r="C36" i="3"/>
  <c r="N36" i="3" s="1"/>
  <c r="D31" i="3"/>
  <c r="L9" i="3"/>
  <c r="M9" i="3" s="1"/>
  <c r="B17" i="3"/>
  <c r="L7" i="3"/>
  <c r="L10" i="3"/>
  <c r="M10" i="3" s="1"/>
  <c r="L6" i="3"/>
  <c r="T29" i="3"/>
  <c r="L8" i="3"/>
  <c r="M8" i="3" s="1"/>
  <c r="L5" i="3"/>
  <c r="M16" i="3"/>
  <c r="M17" i="3"/>
  <c r="I16" i="3"/>
  <c r="I17" i="3"/>
  <c r="G2" i="1"/>
  <c r="B28" i="3" l="1"/>
  <c r="G32" i="3"/>
  <c r="B26" i="3"/>
  <c r="C32" i="3"/>
  <c r="T31" i="3" s="1"/>
  <c r="M7" i="3"/>
  <c r="F7" i="3" s="1"/>
  <c r="G7" i="3" s="1"/>
  <c r="M6" i="3"/>
  <c r="F6" i="3" s="1"/>
  <c r="F22" i="5" s="1"/>
  <c r="M5" i="3"/>
  <c r="F5" i="3" s="1"/>
  <c r="G5" i="3" s="1"/>
  <c r="O36" i="3"/>
  <c r="P36" i="3"/>
  <c r="N35" i="3"/>
  <c r="O35" i="3"/>
  <c r="P35" i="3"/>
  <c r="F9" i="3"/>
  <c r="G9" i="3" s="1"/>
  <c r="F10" i="3"/>
  <c r="G10" i="3" s="1"/>
  <c r="D32" i="3"/>
  <c r="D33" i="3"/>
  <c r="D35" i="3"/>
  <c r="D34" i="3"/>
  <c r="F8" i="3"/>
  <c r="F24" i="5" s="1"/>
  <c r="O16" i="3"/>
  <c r="O17" i="3"/>
  <c r="D26" i="3" l="1"/>
  <c r="G8" i="3"/>
  <c r="G6" i="3"/>
  <c r="F23" i="5"/>
  <c r="E33" i="3"/>
  <c r="F33" i="3" s="1"/>
  <c r="H33" i="3" s="1"/>
  <c r="H7" i="3"/>
  <c r="H6" i="3"/>
  <c r="E32" i="3"/>
  <c r="F32" i="3" s="1"/>
  <c r="H32" i="3" s="1"/>
  <c r="E31" i="3"/>
  <c r="F31" i="3" s="1"/>
  <c r="H5" i="3"/>
  <c r="F21" i="5"/>
  <c r="F26" i="5"/>
  <c r="E36" i="3"/>
  <c r="F36" i="3" s="1"/>
  <c r="H36" i="3" s="1"/>
  <c r="H10" i="3"/>
  <c r="F25" i="5"/>
  <c r="E35" i="3"/>
  <c r="F35" i="3" s="1"/>
  <c r="H35" i="3" s="1"/>
  <c r="H9" i="3"/>
  <c r="E34" i="3"/>
  <c r="F34" i="3" s="1"/>
  <c r="H8" i="3"/>
  <c r="B29" i="3" l="1"/>
  <c r="B40" i="5" s="1"/>
  <c r="A40" i="5" s="1"/>
  <c r="D36" i="5" s="1"/>
  <c r="G11" i="3"/>
  <c r="B20" i="3" s="1"/>
  <c r="T33" i="3" s="1"/>
  <c r="U33" i="3" s="1"/>
  <c r="K31" i="3"/>
  <c r="N31" i="3"/>
  <c r="K33" i="3"/>
  <c r="H31" i="3"/>
  <c r="K32" i="3"/>
  <c r="H12" i="3"/>
  <c r="K34" i="3"/>
  <c r="H34" i="3"/>
  <c r="K36" i="3"/>
  <c r="K35" i="3"/>
  <c r="B41" i="5" l="1"/>
  <c r="A41" i="5" s="1"/>
  <c r="O32" i="3"/>
  <c r="P32" i="3"/>
  <c r="C20" i="3"/>
  <c r="M34" i="3"/>
  <c r="J34" i="3"/>
  <c r="I31" i="3"/>
  <c r="L33" i="3"/>
  <c r="J33" i="3"/>
  <c r="M31" i="3"/>
  <c r="M33" i="3"/>
  <c r="J31" i="3"/>
  <c r="J32" i="3"/>
  <c r="M32" i="3"/>
  <c r="I32" i="3"/>
  <c r="L31" i="3"/>
  <c r="L36" i="3"/>
  <c r="L32" i="3"/>
  <c r="L35" i="3"/>
  <c r="L34" i="3"/>
  <c r="I36" i="3"/>
  <c r="I33" i="3"/>
  <c r="I34" i="3"/>
  <c r="I35" i="3"/>
  <c r="K37" i="3"/>
  <c r="H37" i="3"/>
  <c r="M37" i="3" l="1"/>
  <c r="Q36" i="3"/>
  <c r="R36" i="3" s="1"/>
  <c r="Q35" i="3"/>
  <c r="R35" i="3" s="1"/>
  <c r="J37" i="3"/>
  <c r="L37" i="3"/>
  <c r="I37" i="3"/>
  <c r="H38" i="3" l="1"/>
  <c r="H39" i="3" s="1"/>
  <c r="K38" i="3"/>
  <c r="K39" i="3" s="1"/>
  <c r="N32" i="3" l="1"/>
  <c r="O34" i="3"/>
  <c r="P34" i="3"/>
  <c r="N34" i="3"/>
  <c r="P31" i="3"/>
  <c r="O31" i="3"/>
  <c r="O33" i="3"/>
  <c r="P33" i="3"/>
  <c r="N33" i="3"/>
  <c r="Q34" i="3" l="1"/>
  <c r="R34" i="3" s="1"/>
  <c r="Q31" i="3"/>
  <c r="R31" i="3" s="1"/>
  <c r="O37" i="3"/>
  <c r="P37" i="3"/>
  <c r="Q33" i="3"/>
  <c r="R33" i="3" s="1"/>
  <c r="N37" i="3"/>
  <c r="Q32" i="3"/>
  <c r="N38" i="3" l="1"/>
  <c r="N39" i="3" s="1"/>
  <c r="R39" i="3" s="1"/>
  <c r="R40" i="3" s="1"/>
  <c r="R32" i="3"/>
  <c r="R37" i="3" s="1"/>
  <c r="Q37" i="3"/>
  <c r="C36" i="5" l="1"/>
  <c r="C3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松原 由希子</author>
  </authors>
  <commentList>
    <comment ref="R37" authorId="0" shapeId="0" xr:uid="{7D588BF5-3581-4569-830D-8E2F25347F3A}">
      <text>
        <r>
          <rPr>
            <b/>
            <sz val="9"/>
            <color indexed="81"/>
            <rFont val="MS P ゴシック"/>
            <family val="3"/>
            <charset val="128"/>
          </rPr>
          <t>松原 由希子:</t>
        </r>
        <r>
          <rPr>
            <sz val="9"/>
            <color indexed="81"/>
            <rFont val="MS P ゴシック"/>
            <family val="3"/>
            <charset val="128"/>
          </rPr>
          <t xml:space="preserve">
試算の賦課課税台帳と端数処理で高確率でズレる
→</t>
        </r>
        <r>
          <rPr>
            <b/>
            <sz val="9"/>
            <color indexed="81"/>
            <rFont val="MS P ゴシック"/>
            <family val="3"/>
            <charset val="128"/>
          </rPr>
          <t>一番税額の大きい人で調整する</t>
        </r>
        <r>
          <rPr>
            <sz val="9"/>
            <color indexed="81"/>
            <rFont val="MS P ゴシック"/>
            <family val="3"/>
            <charset val="128"/>
          </rPr>
          <t xml:space="preserve">
※原因
この試算エクセルは人ごとで端数処理しているのに対し、標準システムは医療分・支援分・介護分で端数処理しているから</t>
        </r>
      </text>
    </comment>
  </commentList>
</comments>
</file>

<file path=xl/sharedStrings.xml><?xml version="1.0" encoding="utf-8"?>
<sst xmlns="http://schemas.openxmlformats.org/spreadsheetml/2006/main" count="181" uniqueCount="126">
  <si>
    <t>給与所得</t>
    <rPh sb="0" eb="4">
      <t>キュウヨショトク</t>
    </rPh>
    <phoneticPr fontId="2"/>
  </si>
  <si>
    <t>給与収入</t>
    <rPh sb="0" eb="2">
      <t>キュウヨ</t>
    </rPh>
    <rPh sb="2" eb="4">
      <t>シュウニュウ</t>
    </rPh>
    <phoneticPr fontId="2"/>
  </si>
  <si>
    <t>給与所得算出</t>
    <rPh sb="0" eb="4">
      <t>キュウヨショトク</t>
    </rPh>
    <rPh sb="4" eb="6">
      <t>サンシュツ</t>
    </rPh>
    <phoneticPr fontId="2"/>
  </si>
  <si>
    <t>*2.4+100000</t>
    <phoneticPr fontId="2"/>
  </si>
  <si>
    <t>*2.8-80000</t>
    <phoneticPr fontId="2"/>
  </si>
  <si>
    <t>*3.2-440000</t>
    <phoneticPr fontId="2"/>
  </si>
  <si>
    <t>*0.9-1100000</t>
    <phoneticPr fontId="2"/>
  </si>
  <si>
    <t>給与収入</t>
    <rPh sb="0" eb="4">
      <t>キュウヨシュウニュウ</t>
    </rPh>
    <phoneticPr fontId="2"/>
  </si>
  <si>
    <t>公的年金収入</t>
    <rPh sb="0" eb="6">
      <t>コウテキネンキンシュウニュウ</t>
    </rPh>
    <phoneticPr fontId="2"/>
  </si>
  <si>
    <t>世帯主</t>
    <rPh sb="0" eb="3">
      <t>セタイヌシ</t>
    </rPh>
    <phoneticPr fontId="2"/>
  </si>
  <si>
    <t>試算対象者</t>
    <rPh sb="0" eb="5">
      <t>シサンタイショウシャ</t>
    </rPh>
    <phoneticPr fontId="2"/>
  </si>
  <si>
    <t>世帯員①</t>
    <rPh sb="0" eb="3">
      <t>セタイイン</t>
    </rPh>
    <phoneticPr fontId="2"/>
  </si>
  <si>
    <t>世帯員②</t>
    <rPh sb="0" eb="3">
      <t>セタイイン</t>
    </rPh>
    <phoneticPr fontId="2"/>
  </si>
  <si>
    <t>世帯員③</t>
    <rPh sb="0" eb="3">
      <t>セタイイン</t>
    </rPh>
    <phoneticPr fontId="2"/>
  </si>
  <si>
    <t>世帯員④</t>
    <rPh sb="0" eb="3">
      <t>セタイイン</t>
    </rPh>
    <phoneticPr fontId="2"/>
  </si>
  <si>
    <t>世帯員⑤</t>
    <rPh sb="0" eb="3">
      <t>セタイイン</t>
    </rPh>
    <phoneticPr fontId="2"/>
  </si>
  <si>
    <t>生年月日</t>
    <rPh sb="0" eb="4">
      <t>セイネンガッピ</t>
    </rPh>
    <phoneticPr fontId="2"/>
  </si>
  <si>
    <t>給与収入額</t>
    <rPh sb="0" eb="5">
      <t>キュウヨシュウニュウガク</t>
    </rPh>
    <phoneticPr fontId="2"/>
  </si>
  <si>
    <t>公的年金収入額</t>
    <rPh sb="0" eb="7">
      <t>コウテキネンキンシュウニュウガク</t>
    </rPh>
    <phoneticPr fontId="2"/>
  </si>
  <si>
    <t>その他の所得の合計額</t>
    <rPh sb="2" eb="3">
      <t>タ</t>
    </rPh>
    <rPh sb="4" eb="6">
      <t>ショトク</t>
    </rPh>
    <rPh sb="7" eb="10">
      <t>ゴウケイガク</t>
    </rPh>
    <phoneticPr fontId="2"/>
  </si>
  <si>
    <t>合計所得額</t>
    <rPh sb="0" eb="5">
      <t>ゴウケイショトクガク</t>
    </rPh>
    <phoneticPr fontId="2"/>
  </si>
  <si>
    <t>給与所得</t>
    <rPh sb="0" eb="4">
      <t>キュウヨショトク</t>
    </rPh>
    <phoneticPr fontId="2"/>
  </si>
  <si>
    <t>年金所得</t>
    <rPh sb="0" eb="4">
      <t>ネンキンショトク</t>
    </rPh>
    <phoneticPr fontId="2"/>
  </si>
  <si>
    <t>所得金額調整控除</t>
    <rPh sb="0" eb="8">
      <t>ショトクキンガクチョウセイコウジョ</t>
    </rPh>
    <phoneticPr fontId="2"/>
  </si>
  <si>
    <t>擬制世帯主</t>
    <rPh sb="0" eb="5">
      <t>ギセイセタイヌシ</t>
    </rPh>
    <phoneticPr fontId="2"/>
  </si>
  <si>
    <t>軽減判定</t>
    <rPh sb="0" eb="4">
      <t>ケイゲンハンテイ</t>
    </rPh>
    <phoneticPr fontId="2"/>
  </si>
  <si>
    <t>国保加入者</t>
    <rPh sb="0" eb="5">
      <t>コクホカニュウシャ</t>
    </rPh>
    <phoneticPr fontId="2"/>
  </si>
  <si>
    <t>介護該当者</t>
    <rPh sb="0" eb="5">
      <t>カイゴガイトウシャ</t>
    </rPh>
    <phoneticPr fontId="2"/>
  </si>
  <si>
    <t>未就学児</t>
    <rPh sb="0" eb="4">
      <t>ミシュウガクジ</t>
    </rPh>
    <phoneticPr fontId="2"/>
  </si>
  <si>
    <t>普通世帯主</t>
    <rPh sb="0" eb="5">
      <t>フツウセタイヌシ</t>
    </rPh>
    <phoneticPr fontId="2"/>
  </si>
  <si>
    <t>給与所得者等</t>
    <rPh sb="0" eb="5">
      <t>キュウヨショトクシャ</t>
    </rPh>
    <rPh sb="5" eb="6">
      <t>ナド</t>
    </rPh>
    <phoneticPr fontId="2"/>
  </si>
  <si>
    <t>人</t>
    <rPh sb="0" eb="1">
      <t>ニン</t>
    </rPh>
    <phoneticPr fontId="2"/>
  </si>
  <si>
    <t>+</t>
    <phoneticPr fontId="2"/>
  </si>
  <si>
    <t>×</t>
    <phoneticPr fontId="2"/>
  </si>
  <si>
    <t>=</t>
    <phoneticPr fontId="2"/>
  </si>
  <si>
    <t>7割</t>
    <rPh sb="1" eb="2">
      <t>ワリ</t>
    </rPh>
    <phoneticPr fontId="2"/>
  </si>
  <si>
    <t>＝</t>
    <phoneticPr fontId="2"/>
  </si>
  <si>
    <t>5割</t>
    <rPh sb="1" eb="2">
      <t>ワリ</t>
    </rPh>
    <phoneticPr fontId="2"/>
  </si>
  <si>
    <t>2割</t>
    <rPh sb="1" eb="2">
      <t>ワリ</t>
    </rPh>
    <phoneticPr fontId="2"/>
  </si>
  <si>
    <t>軽減</t>
    <rPh sb="0" eb="2">
      <t>ケイゲン</t>
    </rPh>
    <phoneticPr fontId="2"/>
  </si>
  <si>
    <t>合計</t>
    <rPh sb="0" eb="2">
      <t>ゴウケイ</t>
    </rPh>
    <phoneticPr fontId="2"/>
  </si>
  <si>
    <t>軽減判定</t>
    <rPh sb="0" eb="4">
      <t>ケイゲンハンテイ</t>
    </rPh>
    <phoneticPr fontId="2"/>
  </si>
  <si>
    <t>年齢計算基準日</t>
    <rPh sb="0" eb="2">
      <t>ネンレイ</t>
    </rPh>
    <rPh sb="2" eb="4">
      <t>ケイサン</t>
    </rPh>
    <rPh sb="4" eb="6">
      <t>キジュン</t>
    </rPh>
    <rPh sb="6" eb="7">
      <t>ビ</t>
    </rPh>
    <phoneticPr fontId="2"/>
  </si>
  <si>
    <t>世帯主区分</t>
    <rPh sb="0" eb="3">
      <t>セタイヌシ</t>
    </rPh>
    <rPh sb="3" eb="5">
      <t>クブン</t>
    </rPh>
    <phoneticPr fontId="2"/>
  </si>
  <si>
    <t>医療分</t>
    <rPh sb="0" eb="3">
      <t>イリョウブン</t>
    </rPh>
    <phoneticPr fontId="2"/>
  </si>
  <si>
    <t>支援分</t>
    <rPh sb="0" eb="3">
      <t>シエンブン</t>
    </rPh>
    <phoneticPr fontId="2"/>
  </si>
  <si>
    <t>介護分</t>
    <rPh sb="0" eb="3">
      <t>カイゴブン</t>
    </rPh>
    <phoneticPr fontId="2"/>
  </si>
  <si>
    <t>端数処理</t>
    <rPh sb="0" eb="4">
      <t>ハスウショリ</t>
    </rPh>
    <phoneticPr fontId="2"/>
  </si>
  <si>
    <t>世帯人数</t>
    <rPh sb="0" eb="4">
      <t>セタイニンズウ</t>
    </rPh>
    <phoneticPr fontId="2"/>
  </si>
  <si>
    <t>介護</t>
    <rPh sb="0" eb="2">
      <t>カイゴ</t>
    </rPh>
    <phoneticPr fontId="2"/>
  </si>
  <si>
    <t>総所得</t>
    <rPh sb="0" eb="3">
      <t>ソウショトク</t>
    </rPh>
    <phoneticPr fontId="2"/>
  </si>
  <si>
    <t>課税標準額</t>
    <rPh sb="0" eb="5">
      <t>カゼイヒョウジュンガク</t>
    </rPh>
    <phoneticPr fontId="2"/>
  </si>
  <si>
    <t>加入月数</t>
    <rPh sb="0" eb="4">
      <t>カニュウツキスウ</t>
    </rPh>
    <phoneticPr fontId="2"/>
  </si>
  <si>
    <t>所得割</t>
    <rPh sb="0" eb="3">
      <t>ショトクワリ</t>
    </rPh>
    <phoneticPr fontId="2"/>
  </si>
  <si>
    <t>均等割</t>
    <rPh sb="0" eb="3">
      <t>キントウワ</t>
    </rPh>
    <phoneticPr fontId="2"/>
  </si>
  <si>
    <t>平等割</t>
    <rPh sb="0" eb="3">
      <t>ビョウドウワリ</t>
    </rPh>
    <phoneticPr fontId="2"/>
  </si>
  <si>
    <t>平等割月数</t>
    <rPh sb="0" eb="3">
      <t>ビョウドウワリ</t>
    </rPh>
    <rPh sb="3" eb="5">
      <t>ツキスウ</t>
    </rPh>
    <phoneticPr fontId="2"/>
  </si>
  <si>
    <t>介護数</t>
    <rPh sb="0" eb="2">
      <t>カイゴ</t>
    </rPh>
    <rPh sb="2" eb="3">
      <t>スウ</t>
    </rPh>
    <phoneticPr fontId="2"/>
  </si>
  <si>
    <t>保険加入月</t>
    <rPh sb="0" eb="2">
      <t>ホケン</t>
    </rPh>
    <rPh sb="2" eb="5">
      <t>カニュウヅキ</t>
    </rPh>
    <phoneticPr fontId="2"/>
  </si>
  <si>
    <t>加入月数</t>
    <rPh sb="0" eb="4">
      <t>カニュウツキスウ</t>
    </rPh>
    <phoneticPr fontId="2"/>
  </si>
  <si>
    <t>月</t>
    <rPh sb="0" eb="1">
      <t>ガツ</t>
    </rPh>
    <phoneticPr fontId="2"/>
  </si>
  <si>
    <t>か月</t>
    <rPh sb="1" eb="2">
      <t>ゲツ</t>
    </rPh>
    <phoneticPr fontId="2"/>
  </si>
  <si>
    <t>加入月</t>
    <rPh sb="0" eb="3">
      <t>カニュウヅキ</t>
    </rPh>
    <phoneticPr fontId="2"/>
  </si>
  <si>
    <t>月数</t>
    <rPh sb="0" eb="2">
      <t>ツキスウ</t>
    </rPh>
    <phoneticPr fontId="2"/>
  </si>
  <si>
    <t>区分</t>
    <rPh sb="0" eb="2">
      <t>クブン</t>
    </rPh>
    <phoneticPr fontId="2"/>
  </si>
  <si>
    <t>医療</t>
    <rPh sb="0" eb="2">
      <t>イリョウ</t>
    </rPh>
    <phoneticPr fontId="2"/>
  </si>
  <si>
    <t>支援</t>
    <rPh sb="0" eb="2">
      <t>シエン</t>
    </rPh>
    <phoneticPr fontId="2"/>
  </si>
  <si>
    <t>軽減区分</t>
    <rPh sb="0" eb="4">
      <t>ケイゲンクブン</t>
    </rPh>
    <phoneticPr fontId="2"/>
  </si>
  <si>
    <t>軽減なし</t>
    <rPh sb="0" eb="2">
      <t>ケイゲン</t>
    </rPh>
    <phoneticPr fontId="2"/>
  </si>
  <si>
    <t>年齢</t>
    <rPh sb="0" eb="2">
      <t>ネンレイ</t>
    </rPh>
    <phoneticPr fontId="2"/>
  </si>
  <si>
    <t>介護</t>
    <rPh sb="0" eb="2">
      <t>カイゴ</t>
    </rPh>
    <phoneticPr fontId="2"/>
  </si>
  <si>
    <t>未就学児</t>
    <rPh sb="0" eb="4">
      <t>ミシュウガクジ</t>
    </rPh>
    <phoneticPr fontId="2"/>
  </si>
  <si>
    <t>軽減判定用合計</t>
    <rPh sb="0" eb="5">
      <t>ケイゲンハンテイヨウ</t>
    </rPh>
    <rPh sb="5" eb="7">
      <t>ゴウケイ</t>
    </rPh>
    <phoneticPr fontId="2"/>
  </si>
  <si>
    <t>所得割用合計</t>
    <rPh sb="0" eb="4">
      <t>ショトクワリヨウ</t>
    </rPh>
    <rPh sb="4" eb="6">
      <t>ゴウケイ</t>
    </rPh>
    <phoneticPr fontId="2"/>
  </si>
  <si>
    <t>課税標準額</t>
    <rPh sb="0" eb="5">
      <t>カゼイヒョウジュンガク</t>
    </rPh>
    <phoneticPr fontId="2"/>
  </si>
  <si>
    <t>STEP１</t>
    <phoneticPr fontId="2"/>
  </si>
  <si>
    <t>２：擬制世帯主</t>
    <rPh sb="2" eb="7">
      <t>ギセイセタイヌシ</t>
    </rPh>
    <phoneticPr fontId="2"/>
  </si>
  <si>
    <t>１：普通世帯主</t>
    <rPh sb="2" eb="7">
      <t>フツウセタイヌシ</t>
    </rPh>
    <phoneticPr fontId="2"/>
  </si>
  <si>
    <t>STEP２</t>
    <phoneticPr fontId="2"/>
  </si>
  <si>
    <t>その他の所得の合計額
（営業所得・不動産所得等）</t>
    <rPh sb="2" eb="3">
      <t>タ</t>
    </rPh>
    <rPh sb="4" eb="6">
      <t>ショトク</t>
    </rPh>
    <rPh sb="7" eb="10">
      <t>ゴウケイガク</t>
    </rPh>
    <rPh sb="12" eb="14">
      <t>エイギョウ</t>
    </rPh>
    <rPh sb="14" eb="16">
      <t>ショトク</t>
    </rPh>
    <rPh sb="17" eb="22">
      <t>フドウサンショトク</t>
    </rPh>
    <rPh sb="22" eb="23">
      <t>ナド</t>
    </rPh>
    <phoneticPr fontId="2"/>
  </si>
  <si>
    <t>合計所得</t>
    <rPh sb="0" eb="4">
      <t>ゴウケイショトク</t>
    </rPh>
    <phoneticPr fontId="2"/>
  </si>
  <si>
    <t>STEP3</t>
    <phoneticPr fontId="2"/>
  </si>
  <si>
    <t>保険加入月</t>
    <rPh sb="0" eb="5">
      <t>ホケンカニュウヅキ</t>
    </rPh>
    <phoneticPr fontId="2"/>
  </si>
  <si>
    <t>月</t>
    <rPh sb="0" eb="1">
      <t>ガツ</t>
    </rPh>
    <phoneticPr fontId="2"/>
  </si>
  <si>
    <t>試算結果</t>
    <rPh sb="0" eb="4">
      <t>シサンケッカ</t>
    </rPh>
    <phoneticPr fontId="2"/>
  </si>
  <si>
    <t>※あくまで入力いただいた値での概算になります。実際の税額と異なる場合がありますのでご了承ください。</t>
    <rPh sb="5" eb="7">
      <t>ニュウリョク</t>
    </rPh>
    <rPh sb="12" eb="13">
      <t>アタイ</t>
    </rPh>
    <rPh sb="15" eb="17">
      <t>ガイサン</t>
    </rPh>
    <rPh sb="23" eb="25">
      <t>ジッサイ</t>
    </rPh>
    <rPh sb="26" eb="28">
      <t>ゼイガク</t>
    </rPh>
    <rPh sb="29" eb="30">
      <t>コト</t>
    </rPh>
    <rPh sb="32" eb="34">
      <t>バアイ</t>
    </rPh>
    <rPh sb="42" eb="44">
      <t>リョウショウ</t>
    </rPh>
    <phoneticPr fontId="2"/>
  </si>
  <si>
    <r>
      <rPr>
        <sz val="14"/>
        <color rgb="FFFF0000"/>
        <rFont val="游ゴシック"/>
        <family val="3"/>
        <charset val="128"/>
        <scheme val="minor"/>
      </rPr>
      <t>生年月日は必ず入力してください。</t>
    </r>
    <r>
      <rPr>
        <sz val="14"/>
        <color theme="1"/>
        <rFont val="游ゴシック"/>
        <family val="2"/>
        <charset val="128"/>
        <scheme val="minor"/>
      </rPr>
      <t>収入がない場合は入力しなくても試算は可能です。</t>
    </r>
    <rPh sb="0" eb="4">
      <t>セイネンガッピ</t>
    </rPh>
    <rPh sb="5" eb="6">
      <t>カナラ</t>
    </rPh>
    <rPh sb="7" eb="9">
      <t>ニュウリョク</t>
    </rPh>
    <rPh sb="16" eb="18">
      <t>シュウニュウ</t>
    </rPh>
    <rPh sb="21" eb="23">
      <t>バアイ</t>
    </rPh>
    <rPh sb="24" eb="26">
      <t>ニュウリョク</t>
    </rPh>
    <rPh sb="31" eb="33">
      <t>シサン</t>
    </rPh>
    <rPh sb="34" eb="36">
      <t>カノウ</t>
    </rPh>
    <phoneticPr fontId="2"/>
  </si>
  <si>
    <t>その他の所得の合計額には給与所得と公的年金に係る収入以外の所得の合計を入力してください（赤字の場合も入力してください）</t>
    <rPh sb="2" eb="3">
      <t>タ</t>
    </rPh>
    <rPh sb="4" eb="6">
      <t>ショトク</t>
    </rPh>
    <rPh sb="7" eb="10">
      <t>ゴウケイガク</t>
    </rPh>
    <rPh sb="12" eb="16">
      <t>キュウヨショトク</t>
    </rPh>
    <rPh sb="17" eb="21">
      <t>コウテキネンキン</t>
    </rPh>
    <rPh sb="22" eb="23">
      <t>カカ</t>
    </rPh>
    <rPh sb="24" eb="26">
      <t>シュウニュウ</t>
    </rPh>
    <rPh sb="26" eb="28">
      <t>イガイ</t>
    </rPh>
    <rPh sb="29" eb="31">
      <t>ショトク</t>
    </rPh>
    <rPh sb="32" eb="34">
      <t>ゴウケイ</t>
    </rPh>
    <rPh sb="35" eb="37">
      <t>ニュウリョク</t>
    </rPh>
    <rPh sb="44" eb="46">
      <t>アカジ</t>
    </rPh>
    <rPh sb="47" eb="49">
      <t>バアイ</t>
    </rPh>
    <rPh sb="50" eb="52">
      <t>ニュウリョク</t>
    </rPh>
    <phoneticPr fontId="2"/>
  </si>
  <si>
    <t>給与収入や公的年金収入を複数個所からもらっている場合は、合計額を各項目に入力してください。</t>
    <rPh sb="0" eb="2">
      <t>キュウヨ</t>
    </rPh>
    <rPh sb="2" eb="4">
      <t>シュウニュウ</t>
    </rPh>
    <rPh sb="5" eb="11">
      <t>コウテキネンキンシュウニュウ</t>
    </rPh>
    <rPh sb="12" eb="16">
      <t>フクスウカショ</t>
    </rPh>
    <rPh sb="24" eb="26">
      <t>バアイ</t>
    </rPh>
    <rPh sb="28" eb="31">
      <t>ゴウケイガク</t>
    </rPh>
    <rPh sb="32" eb="35">
      <t>カクコウモク</t>
    </rPh>
    <rPh sb="36" eb="38">
      <t>ニュウリョク</t>
    </rPh>
    <phoneticPr fontId="2"/>
  </si>
  <si>
    <t>世帯主が国民健康保険に加入する場合は『１：普通世帯主』、加入しない場合は『２：擬制世帯主』を入力してください。</t>
    <rPh sb="0" eb="3">
      <t>セタイヌシ</t>
    </rPh>
    <rPh sb="4" eb="10">
      <t>コクミンケンコウホケン</t>
    </rPh>
    <rPh sb="11" eb="13">
      <t>カニュウ</t>
    </rPh>
    <rPh sb="15" eb="17">
      <t>バアイ</t>
    </rPh>
    <rPh sb="21" eb="26">
      <t>フツウセタイヌシ</t>
    </rPh>
    <rPh sb="28" eb="30">
      <t>カニュウ</t>
    </rPh>
    <rPh sb="33" eb="35">
      <t>バアイ</t>
    </rPh>
    <rPh sb="39" eb="44">
      <t>ギセイセタイヌシ</t>
    </rPh>
    <rPh sb="46" eb="48">
      <t>ニュウリョク</t>
    </rPh>
    <phoneticPr fontId="2"/>
  </si>
  <si>
    <t>のセルは日付や数字を入力してください</t>
    <rPh sb="4" eb="6">
      <t>ヒヅケ</t>
    </rPh>
    <rPh sb="7" eb="9">
      <t>スウジ</t>
    </rPh>
    <rPh sb="10" eb="12">
      <t>ニュウリョク</t>
    </rPh>
    <phoneticPr fontId="2"/>
  </si>
  <si>
    <t>入力例）</t>
    <rPh sb="0" eb="2">
      <t>ニュウリョク</t>
    </rPh>
    <rPh sb="2" eb="3">
      <t>レイ</t>
    </rPh>
    <phoneticPr fontId="2"/>
  </si>
  <si>
    <t>のセルはプルダウンリストから選択してください</t>
    <rPh sb="14" eb="16">
      <t>センタク</t>
    </rPh>
    <phoneticPr fontId="2"/>
  </si>
  <si>
    <t>任意継続との比較</t>
    <rPh sb="0" eb="4">
      <t>ニンイケイゾク</t>
    </rPh>
    <rPh sb="6" eb="8">
      <t>ヒカク</t>
    </rPh>
    <phoneticPr fontId="2"/>
  </si>
  <si>
    <t>　任意継続保険と比較する場合は、１カ月あたりの金額をご参考にしてください。</t>
    <rPh sb="1" eb="5">
      <t>ニンイケイゾク</t>
    </rPh>
    <rPh sb="5" eb="7">
      <t>ホケン</t>
    </rPh>
    <rPh sb="8" eb="10">
      <t>ヒカク</t>
    </rPh>
    <rPh sb="12" eb="14">
      <t>バアイ</t>
    </rPh>
    <rPh sb="23" eb="25">
      <t>キンガク</t>
    </rPh>
    <rPh sb="27" eb="29">
      <t>サンコウ</t>
    </rPh>
    <phoneticPr fontId="2"/>
  </si>
  <si>
    <t>１カ月あたりの金額：</t>
    <rPh sb="2" eb="3">
      <t>ゲツ</t>
    </rPh>
    <rPh sb="7" eb="9">
      <t>キンガク</t>
    </rPh>
    <phoneticPr fontId="2"/>
  </si>
  <si>
    <t>≪入力方法≫</t>
    <rPh sb="1" eb="5">
      <t>ニュウリョクホウホウ</t>
    </rPh>
    <phoneticPr fontId="2"/>
  </si>
  <si>
    <t>40歳到達日</t>
    <rPh sb="2" eb="3">
      <t>サイ</t>
    </rPh>
    <rPh sb="3" eb="6">
      <t>トウタツビ</t>
    </rPh>
    <phoneticPr fontId="2"/>
  </si>
  <si>
    <t>65歳到達日</t>
    <rPh sb="2" eb="3">
      <t>サイ</t>
    </rPh>
    <rPh sb="3" eb="6">
      <t>トウタツビ</t>
    </rPh>
    <phoneticPr fontId="2"/>
  </si>
  <si>
    <t>75歳到達日</t>
    <rPh sb="2" eb="3">
      <t>サイ</t>
    </rPh>
    <rPh sb="3" eb="6">
      <t>トウタツビ</t>
    </rPh>
    <phoneticPr fontId="2"/>
  </si>
  <si>
    <t>年度末年齢カ月</t>
    <rPh sb="0" eb="3">
      <t>ネンドマツ</t>
    </rPh>
    <rPh sb="3" eb="5">
      <t>ネンレイ</t>
    </rPh>
    <rPh sb="6" eb="7">
      <t>ゲツ</t>
    </rPh>
    <phoneticPr fontId="2"/>
  </si>
  <si>
    <t>介護加入月数</t>
    <rPh sb="0" eb="2">
      <t>カイゴ</t>
    </rPh>
    <rPh sb="2" eb="6">
      <t>カニュウツキスウ</t>
    </rPh>
    <phoneticPr fontId="2"/>
  </si>
  <si>
    <t>介護該当月数</t>
    <rPh sb="0" eb="2">
      <t>カイゴ</t>
    </rPh>
    <rPh sb="2" eb="4">
      <t>ガイトウ</t>
    </rPh>
    <rPh sb="4" eb="6">
      <t>ツキスウ</t>
    </rPh>
    <phoneticPr fontId="2"/>
  </si>
  <si>
    <t>国保該当月数</t>
    <rPh sb="0" eb="2">
      <t>コクホ</t>
    </rPh>
    <rPh sb="2" eb="4">
      <t>ガイトウ</t>
    </rPh>
    <rPh sb="4" eb="6">
      <t>ツキスウ</t>
    </rPh>
    <phoneticPr fontId="2"/>
  </si>
  <si>
    <t>経過月数</t>
    <rPh sb="0" eb="4">
      <t>ケイカツキスウ</t>
    </rPh>
    <phoneticPr fontId="2"/>
  </si>
  <si>
    <t>加入月頭</t>
    <rPh sb="0" eb="4">
      <t>カニュウツキアタマ</t>
    </rPh>
    <phoneticPr fontId="2"/>
  </si>
  <si>
    <t>加入月～介護加入月数</t>
    <rPh sb="0" eb="3">
      <t>カニュウヅキ</t>
    </rPh>
    <rPh sb="4" eb="10">
      <t>カイゴカニュウツキスウ</t>
    </rPh>
    <phoneticPr fontId="2"/>
  </si>
  <si>
    <r>
      <t>(</t>
    </r>
    <r>
      <rPr>
        <b/>
        <sz val="16"/>
        <color rgb="FFFF0000"/>
        <rFont val="游ゴシック"/>
        <family val="3"/>
        <charset val="128"/>
        <scheme val="minor"/>
      </rPr>
      <t>※任意継続との比較用に算出しています。納付書に記載される金額ではありません</t>
    </r>
    <r>
      <rPr>
        <sz val="16"/>
        <color rgb="FFFF0000"/>
        <rFont val="游ゴシック"/>
        <family val="3"/>
        <charset val="128"/>
        <scheme val="minor"/>
      </rPr>
      <t>）</t>
    </r>
    <rPh sb="2" eb="6">
      <t>ニンイケイゾク</t>
    </rPh>
    <rPh sb="8" eb="11">
      <t>ヒカクヨウ</t>
    </rPh>
    <rPh sb="12" eb="14">
      <t>サンシュツ</t>
    </rPh>
    <rPh sb="20" eb="23">
      <t>ノウフショ</t>
    </rPh>
    <rPh sb="24" eb="26">
      <t>キサイ</t>
    </rPh>
    <rPh sb="29" eb="31">
      <t>キンガク</t>
    </rPh>
    <phoneticPr fontId="2"/>
  </si>
  <si>
    <t>年度頭年齢</t>
    <rPh sb="0" eb="2">
      <t>ネンド</t>
    </rPh>
    <rPh sb="2" eb="3">
      <t>アタマ</t>
    </rPh>
    <rPh sb="3" eb="5">
      <t>ネンレイ</t>
    </rPh>
    <phoneticPr fontId="2"/>
  </si>
  <si>
    <t>所得計算年齢</t>
    <rPh sb="0" eb="2">
      <t>ショトク</t>
    </rPh>
    <rPh sb="2" eb="4">
      <t>ケイサン</t>
    </rPh>
    <rPh sb="4" eb="6">
      <t>ネンレイ</t>
    </rPh>
    <phoneticPr fontId="2"/>
  </si>
  <si>
    <t>軽減判定用所得</t>
    <rPh sb="0" eb="5">
      <t>ケイゲンハンテイヨウ</t>
    </rPh>
    <rPh sb="5" eb="7">
      <t>ショトク</t>
    </rPh>
    <phoneticPr fontId="2"/>
  </si>
  <si>
    <t>軽減判定計算エリア</t>
    <rPh sb="0" eb="4">
      <t>ケイゲンハンテイ</t>
    </rPh>
    <rPh sb="4" eb="6">
      <t>ケイサン</t>
    </rPh>
    <phoneticPr fontId="2"/>
  </si>
  <si>
    <t>試算エリア</t>
    <rPh sb="0" eb="2">
      <t>シサン</t>
    </rPh>
    <phoneticPr fontId="2"/>
  </si>
  <si>
    <t>世帯主区分</t>
    <rPh sb="0" eb="5">
      <t>セタイヌシクブン</t>
    </rPh>
    <phoneticPr fontId="2"/>
  </si>
  <si>
    <t>年度末年齢</t>
    <rPh sb="0" eb="3">
      <t>ネンドマツ</t>
    </rPh>
    <rPh sb="3" eb="5">
      <t>ネンレイ</t>
    </rPh>
    <phoneticPr fontId="2"/>
  </si>
  <si>
    <t>最小値</t>
    <rPh sb="0" eb="3">
      <t>サイショウチ</t>
    </rPh>
    <phoneticPr fontId="2"/>
  </si>
  <si>
    <t>1/1の年齢</t>
    <rPh sb="4" eb="6">
      <t>ネンレイ</t>
    </rPh>
    <phoneticPr fontId="2"/>
  </si>
  <si>
    <t>4/1の年齢</t>
    <rPh sb="4" eb="6">
      <t>ネンレイ</t>
    </rPh>
    <phoneticPr fontId="2"/>
  </si>
  <si>
    <t>来年4/1の年齢</t>
    <rPh sb="0" eb="2">
      <t>ライネン</t>
    </rPh>
    <rPh sb="6" eb="8">
      <t>ネンレイ</t>
    </rPh>
    <phoneticPr fontId="2"/>
  </si>
  <si>
    <t>多度津町の国民健康保険に加入する月を入力してください。</t>
    <rPh sb="0" eb="4">
      <t>タドツチョウ</t>
    </rPh>
    <rPh sb="5" eb="11">
      <t>コクミンケンコウホケン</t>
    </rPh>
    <rPh sb="12" eb="14">
      <t>カニュウ</t>
    </rPh>
    <rPh sb="16" eb="17">
      <t>ツキ</t>
    </rPh>
    <rPh sb="18" eb="20">
      <t>ニュウリョク</t>
    </rPh>
    <phoneticPr fontId="2"/>
  </si>
  <si>
    <t>STEP1～STEP3の順番に入力してください。</t>
    <rPh sb="12" eb="14">
      <t>ジュンバン</t>
    </rPh>
    <rPh sb="15" eb="17">
      <t>ニュウリョク</t>
    </rPh>
    <phoneticPr fontId="2"/>
  </si>
  <si>
    <t>※入力するときの注意点</t>
    <rPh sb="1" eb="3">
      <t>ニュウリョク</t>
    </rPh>
    <rPh sb="8" eb="11">
      <t>チュウイテン</t>
    </rPh>
    <phoneticPr fontId="2"/>
  </si>
  <si>
    <t>限度額</t>
    <rPh sb="0" eb="3">
      <t>ゲンドガク</t>
    </rPh>
    <phoneticPr fontId="2"/>
  </si>
  <si>
    <t>令和６年度　多度津町国民健康保険税　試算シート</t>
    <rPh sb="0" eb="2">
      <t>レイワ</t>
    </rPh>
    <rPh sb="3" eb="5">
      <t>ネンド</t>
    </rPh>
    <rPh sb="6" eb="10">
      <t>タドツチョウ</t>
    </rPh>
    <rPh sb="10" eb="17">
      <t>コクミンケンコウホケンゼイ</t>
    </rPh>
    <rPh sb="18" eb="20">
      <t>シサン</t>
    </rPh>
    <phoneticPr fontId="2"/>
  </si>
  <si>
    <t>世帯主と国民健康保険に加入する世帯員の生年月日と令和５年中の収入・所得に関する情報を入力してください。</t>
    <rPh sb="0" eb="3">
      <t>セタイヌシ</t>
    </rPh>
    <rPh sb="4" eb="10">
      <t>コクミンケンコウホケン</t>
    </rPh>
    <rPh sb="11" eb="13">
      <t>カニュウ</t>
    </rPh>
    <rPh sb="15" eb="18">
      <t>セタイイン</t>
    </rPh>
    <rPh sb="19" eb="23">
      <t>セイネンガッピ</t>
    </rPh>
    <rPh sb="24" eb="26">
      <t>レイワ</t>
    </rPh>
    <rPh sb="27" eb="29">
      <t>ネンチュウ</t>
    </rPh>
    <rPh sb="30" eb="32">
      <t>シュウニュウ</t>
    </rPh>
    <rPh sb="33" eb="35">
      <t>ショトク</t>
    </rPh>
    <rPh sb="36" eb="37">
      <t>カン</t>
    </rPh>
    <rPh sb="39" eb="41">
      <t>ジョウホウ</t>
    </rPh>
    <rPh sb="42" eb="44">
      <t>ニュウリョク</t>
    </rPh>
    <phoneticPr fontId="2"/>
  </si>
  <si>
    <t>令和６年度の国民健康保険税：</t>
    <rPh sb="0" eb="2">
      <t>レイワ</t>
    </rPh>
    <rPh sb="3" eb="5">
      <t>ネンド</t>
    </rPh>
    <rPh sb="6" eb="13">
      <t>コクミンケンコウホケンゼイ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</si>
</sst>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quot;約&quot;\ #,##0&quot;円&quot;"/>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9"/>
      <color indexed="81"/>
      <name val="MS P ゴシック"/>
      <family val="3"/>
      <charset val="128"/>
    </font>
    <font>
      <sz val="20"/>
      <color theme="1"/>
      <name val="游ゴシック"/>
      <family val="2"/>
      <charset val="128"/>
      <scheme val="minor"/>
    </font>
    <font>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16"/>
      <color theme="1"/>
      <name val="游ゴシック"/>
      <family val="2"/>
      <charset val="128"/>
      <scheme val="minor"/>
    </font>
    <font>
      <sz val="16"/>
      <name val="游ゴシック"/>
      <family val="3"/>
      <charset val="128"/>
      <scheme val="minor"/>
    </font>
    <font>
      <b/>
      <sz val="18"/>
      <color theme="1"/>
      <name val="游ゴシック"/>
      <family val="3"/>
      <charset val="128"/>
      <scheme val="minor"/>
    </font>
    <font>
      <sz val="8"/>
      <color theme="1"/>
      <name val="游ゴシック"/>
      <family val="2"/>
      <charset val="128"/>
      <scheme val="minor"/>
    </font>
    <font>
      <sz val="14"/>
      <color rgb="FFFF0000"/>
      <name val="游ゴシック"/>
      <family val="3"/>
      <charset val="128"/>
      <scheme val="minor"/>
    </font>
    <font>
      <sz val="18"/>
      <name val="游ゴシック"/>
      <family val="2"/>
      <charset val="128"/>
      <scheme val="minor"/>
    </font>
    <font>
      <sz val="18"/>
      <color theme="1"/>
      <name val="游ゴシック"/>
      <family val="3"/>
      <charset val="128"/>
      <scheme val="minor"/>
    </font>
    <font>
      <sz val="20"/>
      <color theme="1"/>
      <name val="BIZ UDゴシック"/>
      <family val="3"/>
      <charset val="128"/>
    </font>
    <font>
      <sz val="18"/>
      <color theme="1"/>
      <name val="BIZ UDPゴシック"/>
      <family val="3"/>
      <charset val="128"/>
    </font>
    <font>
      <sz val="16"/>
      <color theme="1"/>
      <name val="游ゴシック"/>
      <family val="3"/>
      <charset val="128"/>
      <scheme val="minor"/>
    </font>
    <font>
      <b/>
      <sz val="22"/>
      <name val="游ゴシック"/>
      <family val="3"/>
      <charset val="128"/>
      <scheme val="minor"/>
    </font>
    <font>
      <b/>
      <sz val="14"/>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2"/>
      <color rgb="FFFF0000"/>
      <name val="游ゴシック"/>
      <family val="3"/>
      <charset val="128"/>
      <scheme val="minor"/>
    </font>
    <font>
      <sz val="14"/>
      <color theme="1"/>
      <name val="BIZ UDPゴシック"/>
      <family val="3"/>
      <charset val="128"/>
    </font>
    <font>
      <sz val="14"/>
      <name val="游ゴシック"/>
      <family val="3"/>
      <charset val="128"/>
      <scheme val="minor"/>
    </font>
    <font>
      <sz val="12"/>
      <name val="游ゴシック"/>
      <family val="3"/>
      <charset val="128"/>
      <scheme val="minor"/>
    </font>
  </fonts>
  <fills count="15">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CC99"/>
        <bgColor indexed="64"/>
      </patternFill>
    </fill>
    <fill>
      <patternFill patternType="solid">
        <fgColor rgb="FF99FF66"/>
        <bgColor indexed="64"/>
      </patternFill>
    </fill>
    <fill>
      <patternFill patternType="solid">
        <fgColor theme="5"/>
        <bgColor indexed="64"/>
      </patternFill>
    </fill>
    <fill>
      <patternFill patternType="solid">
        <fgColor rgb="FFFFFF00"/>
        <bgColor indexed="64"/>
      </patternFill>
    </fill>
    <fill>
      <patternFill patternType="solid">
        <fgColor theme="9"/>
        <bgColor indexed="64"/>
      </patternFill>
    </fill>
    <fill>
      <patternFill patternType="solid">
        <fgColor rgb="FFFFFF99"/>
        <bgColor indexed="64"/>
      </patternFill>
    </fill>
    <fill>
      <patternFill patternType="solid">
        <fgColor theme="0" tint="-0.14999847407452621"/>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5">
    <xf numFmtId="0" fontId="0" fillId="0" borderId="0" xfId="0">
      <alignment vertical="center"/>
    </xf>
    <xf numFmtId="38" fontId="0" fillId="0" borderId="0" xfId="1" applyFont="1">
      <alignment vertical="center"/>
    </xf>
    <xf numFmtId="38" fontId="0" fillId="0" borderId="1" xfId="1" applyFont="1" applyBorder="1">
      <alignment vertical="center"/>
    </xf>
    <xf numFmtId="38" fontId="0" fillId="2" borderId="1" xfId="1" applyFont="1" applyFill="1" applyBorder="1">
      <alignment vertical="center"/>
    </xf>
    <xf numFmtId="0" fontId="0" fillId="0" borderId="2" xfId="0" applyBorder="1">
      <alignment vertical="center"/>
    </xf>
    <xf numFmtId="38" fontId="0" fillId="0" borderId="2" xfId="1" applyFont="1" applyBorder="1">
      <alignment vertical="center"/>
    </xf>
    <xf numFmtId="176" fontId="0" fillId="0" borderId="0" xfId="0" applyNumberFormat="1">
      <alignment vertical="center"/>
    </xf>
    <xf numFmtId="0" fontId="0" fillId="0" borderId="3" xfId="0" applyNumberFormat="1" applyBorder="1">
      <alignment vertical="center"/>
    </xf>
    <xf numFmtId="0" fontId="0" fillId="0" borderId="3" xfId="0" applyBorder="1">
      <alignment vertical="center"/>
    </xf>
    <xf numFmtId="0" fontId="0" fillId="0" borderId="1" xfId="0" applyBorder="1">
      <alignment vertical="center"/>
    </xf>
    <xf numFmtId="0" fontId="0" fillId="5" borderId="5" xfId="0" applyFill="1" applyBorder="1">
      <alignment vertical="center"/>
    </xf>
    <xf numFmtId="0" fontId="0" fillId="7" borderId="0" xfId="0" applyNumberFormat="1" applyFill="1">
      <alignment vertical="center"/>
    </xf>
    <xf numFmtId="176" fontId="0" fillId="0" borderId="2" xfId="0" applyNumberFormat="1" applyFill="1" applyBorder="1">
      <alignment vertical="center"/>
    </xf>
    <xf numFmtId="0" fontId="0" fillId="8" borderId="2" xfId="0" applyFill="1" applyBorder="1">
      <alignment vertical="center"/>
    </xf>
    <xf numFmtId="38" fontId="0" fillId="0" borderId="4" xfId="1" applyFont="1" applyBorder="1">
      <alignment vertical="center"/>
    </xf>
    <xf numFmtId="0" fontId="0" fillId="0" borderId="0" xfId="0" applyBorder="1">
      <alignment vertical="center"/>
    </xf>
    <xf numFmtId="0" fontId="0" fillId="0" borderId="0" xfId="0" applyFill="1" applyBorder="1">
      <alignment vertical="center"/>
    </xf>
    <xf numFmtId="0" fontId="0" fillId="0" borderId="2" xfId="0" applyFill="1" applyBorder="1">
      <alignment vertical="center"/>
    </xf>
    <xf numFmtId="0" fontId="0" fillId="0" borderId="3" xfId="0" applyFill="1" applyBorder="1">
      <alignment vertical="center"/>
    </xf>
    <xf numFmtId="38" fontId="0" fillId="0" borderId="13" xfId="1" applyFont="1" applyBorder="1">
      <alignment vertical="center"/>
    </xf>
    <xf numFmtId="0" fontId="0" fillId="10" borderId="2" xfId="0" applyFill="1" applyBorder="1">
      <alignment vertical="center"/>
    </xf>
    <xf numFmtId="0" fontId="0" fillId="11" borderId="2" xfId="0" applyFill="1" applyBorder="1">
      <alignment vertical="center"/>
    </xf>
    <xf numFmtId="38" fontId="0" fillId="12" borderId="2" xfId="1" applyFont="1" applyFill="1" applyBorder="1">
      <alignment vertical="center"/>
    </xf>
    <xf numFmtId="177" fontId="0" fillId="0" borderId="2" xfId="0" applyNumberFormat="1" applyBorder="1">
      <alignment vertical="center"/>
    </xf>
    <xf numFmtId="0" fontId="0" fillId="0" borderId="5" xfId="0" applyBorder="1" applyAlignment="1">
      <alignment horizontal="center" vertical="center"/>
    </xf>
    <xf numFmtId="0" fontId="0" fillId="0" borderId="8" xfId="0" applyBorder="1">
      <alignment vertical="center"/>
    </xf>
    <xf numFmtId="0" fontId="9" fillId="0" borderId="0" xfId="0" applyFont="1" applyAlignment="1">
      <alignment vertical="center"/>
    </xf>
    <xf numFmtId="0" fontId="7" fillId="0" borderId="1" xfId="0" applyFont="1" applyBorder="1">
      <alignment vertical="center"/>
    </xf>
    <xf numFmtId="0" fontId="10" fillId="8" borderId="5" xfId="0" applyFont="1" applyFill="1" applyBorder="1" applyAlignment="1">
      <alignment horizontal="center" vertical="center"/>
    </xf>
    <xf numFmtId="38" fontId="17" fillId="8" borderId="31" xfId="1" applyFont="1" applyFill="1" applyBorder="1">
      <alignment vertical="center"/>
    </xf>
    <xf numFmtId="38" fontId="17" fillId="8" borderId="19" xfId="1" applyFont="1" applyFill="1" applyBorder="1">
      <alignment vertical="center"/>
    </xf>
    <xf numFmtId="0" fontId="17" fillId="0" borderId="26" xfId="0" applyFont="1" applyFill="1" applyBorder="1" applyAlignment="1">
      <alignment horizontal="center" vertical="center"/>
    </xf>
    <xf numFmtId="0" fontId="17" fillId="0" borderId="22" xfId="0" applyFont="1" applyFill="1" applyBorder="1" applyAlignment="1">
      <alignment horizontal="center" vertical="center"/>
    </xf>
    <xf numFmtId="0" fontId="0" fillId="0" borderId="35" xfId="0" applyBorder="1">
      <alignment vertical="center"/>
    </xf>
    <xf numFmtId="0" fontId="18" fillId="0" borderId="0" xfId="0" applyFont="1" applyFill="1" applyBorder="1" applyAlignment="1">
      <alignment horizontal="center" vertical="center"/>
    </xf>
    <xf numFmtId="0" fontId="18" fillId="13" borderId="1" xfId="0" applyFont="1" applyFill="1" applyBorder="1" applyAlignment="1">
      <alignment horizontal="center" vertical="center"/>
    </xf>
    <xf numFmtId="0" fontId="18" fillId="0" borderId="0" xfId="0" applyFont="1" applyFill="1" applyBorder="1" applyAlignment="1">
      <alignment horizontal="left" vertical="center"/>
    </xf>
    <xf numFmtId="0" fontId="11" fillId="0" borderId="1" xfId="0" applyFont="1" applyBorder="1" applyAlignment="1">
      <alignment horizontal="distributed" vertical="center"/>
    </xf>
    <xf numFmtId="0" fontId="20" fillId="0" borderId="27" xfId="0" applyFont="1" applyBorder="1" applyAlignment="1">
      <alignment horizontal="distributed" vertical="center"/>
    </xf>
    <xf numFmtId="0" fontId="20" fillId="0" borderId="28" xfId="0" applyFont="1" applyBorder="1" applyAlignment="1">
      <alignment horizontal="distributed" vertical="center"/>
    </xf>
    <xf numFmtId="0" fontId="20" fillId="0" borderId="29" xfId="0" applyFont="1" applyBorder="1" applyAlignment="1">
      <alignment horizontal="distributed" vertical="center"/>
    </xf>
    <xf numFmtId="0" fontId="8" fillId="9" borderId="1" xfId="0" applyFont="1" applyFill="1" applyBorder="1" applyAlignment="1">
      <alignment horizontal="left" vertical="center"/>
    </xf>
    <xf numFmtId="0" fontId="11" fillId="8" borderId="36" xfId="0" applyFont="1" applyFill="1" applyBorder="1" applyAlignment="1">
      <alignment horizontal="right" vertical="center"/>
    </xf>
    <xf numFmtId="14" fontId="17" fillId="8" borderId="7" xfId="0" applyNumberFormat="1" applyFont="1" applyFill="1" applyBorder="1" applyAlignment="1">
      <alignment horizontal="right" vertical="center"/>
    </xf>
    <xf numFmtId="38" fontId="17" fillId="8" borderId="37" xfId="1" applyFont="1" applyFill="1" applyBorder="1" applyAlignment="1">
      <alignment horizontal="right" vertical="center"/>
    </xf>
    <xf numFmtId="38" fontId="17" fillId="8" borderId="38" xfId="1" applyFont="1" applyFill="1" applyBorder="1" applyAlignment="1">
      <alignment horizontal="right" vertical="center" wrapText="1"/>
    </xf>
    <xf numFmtId="0" fontId="0" fillId="0" borderId="30" xfId="0" applyFill="1" applyBorder="1" applyAlignment="1">
      <alignment horizontal="distributed" vertical="center" wrapText="1"/>
    </xf>
    <xf numFmtId="0" fontId="10" fillId="14" borderId="39" xfId="0" applyFont="1" applyFill="1" applyBorder="1" applyAlignment="1">
      <alignment horizontal="center" vertical="center"/>
    </xf>
    <xf numFmtId="176" fontId="16" fillId="13" borderId="13" xfId="0" applyNumberFormat="1" applyFont="1" applyFill="1" applyBorder="1" applyProtection="1">
      <alignment vertical="center"/>
      <protection locked="0"/>
    </xf>
    <xf numFmtId="38" fontId="16" fillId="13" borderId="8" xfId="1" applyFont="1" applyFill="1" applyBorder="1" applyProtection="1">
      <alignment vertical="center"/>
      <protection locked="0"/>
    </xf>
    <xf numFmtId="38" fontId="16" fillId="13" borderId="32" xfId="1" applyFont="1" applyFill="1" applyBorder="1" applyProtection="1">
      <alignment vertical="center"/>
      <protection locked="0"/>
    </xf>
    <xf numFmtId="176" fontId="16" fillId="13" borderId="4" xfId="0" applyNumberFormat="1" applyFont="1" applyFill="1" applyBorder="1" applyProtection="1">
      <alignment vertical="center"/>
      <protection locked="0"/>
    </xf>
    <xf numFmtId="38" fontId="16" fillId="13" borderId="2" xfId="1" applyFont="1" applyFill="1" applyBorder="1" applyProtection="1">
      <alignment vertical="center"/>
      <protection locked="0"/>
    </xf>
    <xf numFmtId="38" fontId="16" fillId="13" borderId="33" xfId="1" applyFont="1" applyFill="1" applyBorder="1" applyProtection="1">
      <alignment vertical="center"/>
      <protection locked="0"/>
    </xf>
    <xf numFmtId="176" fontId="16" fillId="13" borderId="12" xfId="0" applyNumberFormat="1" applyFont="1" applyFill="1" applyBorder="1" applyProtection="1">
      <alignment vertical="center"/>
      <protection locked="0"/>
    </xf>
    <xf numFmtId="38" fontId="16" fillId="13" borderId="11" xfId="1" applyFont="1" applyFill="1" applyBorder="1" applyProtection="1">
      <alignment vertical="center"/>
      <protection locked="0"/>
    </xf>
    <xf numFmtId="38" fontId="16" fillId="13" borderId="12" xfId="1" applyFont="1" applyFill="1" applyBorder="1" applyProtection="1">
      <alignment vertical="center"/>
      <protection locked="0"/>
    </xf>
    <xf numFmtId="38" fontId="16" fillId="13" borderId="34" xfId="1" applyFont="1" applyFill="1" applyBorder="1" applyProtection="1">
      <alignment vertical="center"/>
      <protection locked="0"/>
    </xf>
    <xf numFmtId="0" fontId="10" fillId="9" borderId="5" xfId="0" applyFont="1" applyFill="1" applyBorder="1" applyProtection="1">
      <alignment vertical="center"/>
      <protection locked="0"/>
    </xf>
    <xf numFmtId="0" fontId="6" fillId="0" borderId="0" xfId="0" applyFont="1" applyFill="1" applyBorder="1" applyAlignment="1" applyProtection="1">
      <alignment vertical="center"/>
      <protection locked="0"/>
    </xf>
    <xf numFmtId="0" fontId="18" fillId="0" borderId="40" xfId="0" applyFont="1" applyFill="1" applyBorder="1" applyAlignment="1">
      <alignment horizontal="center" vertical="center"/>
    </xf>
    <xf numFmtId="0" fontId="0" fillId="0" borderId="20" xfId="0" applyBorder="1">
      <alignment vertical="center"/>
    </xf>
    <xf numFmtId="0" fontId="0" fillId="0" borderId="40" xfId="0" applyBorder="1">
      <alignment vertical="center"/>
    </xf>
    <xf numFmtId="0" fontId="7" fillId="0" borderId="20" xfId="0" applyFont="1" applyBorder="1" applyAlignment="1">
      <alignment vertical="center"/>
    </xf>
    <xf numFmtId="0" fontId="9" fillId="0" borderId="0" xfId="0" applyFont="1" applyBorder="1" applyAlignment="1">
      <alignment vertical="center"/>
    </xf>
    <xf numFmtId="0" fontId="9" fillId="0" borderId="40" xfId="0" applyFont="1" applyBorder="1" applyAlignment="1">
      <alignment vertical="center"/>
    </xf>
    <xf numFmtId="0" fontId="6" fillId="0" borderId="20" xfId="0" applyFont="1" applyFill="1" applyBorder="1" applyAlignment="1" applyProtection="1">
      <alignment vertical="center"/>
      <protection locked="0"/>
    </xf>
    <xf numFmtId="0" fontId="7" fillId="0" borderId="20" xfId="0" applyFont="1" applyFill="1" applyBorder="1">
      <alignment vertical="center"/>
    </xf>
    <xf numFmtId="0" fontId="8" fillId="0" borderId="20" xfId="0" applyFont="1" applyFill="1" applyBorder="1">
      <alignment vertical="center"/>
    </xf>
    <xf numFmtId="0" fontId="11" fillId="0" borderId="20" xfId="0" applyFont="1" applyFill="1" applyBorder="1" applyAlignment="1">
      <alignment horizontal="left" vertical="center"/>
    </xf>
    <xf numFmtId="0" fontId="0" fillId="0" borderId="0" xfId="0" applyBorder="1" applyAlignment="1">
      <alignment horizontal="left" vertical="center"/>
    </xf>
    <xf numFmtId="0" fontId="0" fillId="0" borderId="40" xfId="0" applyBorder="1" applyAlignment="1">
      <alignment horizontal="left" vertical="center"/>
    </xf>
    <xf numFmtId="0" fontId="10" fillId="0" borderId="0" xfId="0" applyFont="1" applyBorder="1">
      <alignment vertical="center"/>
    </xf>
    <xf numFmtId="0" fontId="0" fillId="0" borderId="42" xfId="0" applyBorder="1">
      <alignment vertical="center"/>
    </xf>
    <xf numFmtId="178" fontId="21" fillId="0" borderId="0" xfId="0" applyNumberFormat="1" applyFont="1" applyBorder="1">
      <alignment vertical="center"/>
    </xf>
    <xf numFmtId="0" fontId="17" fillId="0" borderId="0" xfId="0" applyNumberFormat="1" applyFont="1" applyBorder="1" applyAlignment="1">
      <alignment horizontal="left" vertical="center"/>
    </xf>
    <xf numFmtId="0" fontId="13" fillId="0" borderId="0" xfId="0" applyNumberFormat="1" applyFont="1" applyBorder="1">
      <alignment vertical="center"/>
    </xf>
    <xf numFmtId="0" fontId="18" fillId="0" borderId="43" xfId="0" applyFont="1" applyFill="1" applyBorder="1" applyAlignment="1">
      <alignment horizontal="left" vertical="center"/>
    </xf>
    <xf numFmtId="0" fontId="18" fillId="0" borderId="20" xfId="0" applyFont="1" applyFill="1" applyBorder="1" applyAlignment="1">
      <alignment horizontal="left" vertical="center"/>
    </xf>
    <xf numFmtId="0" fontId="0" fillId="0" borderId="13" xfId="0" applyFill="1" applyBorder="1">
      <alignment vertical="center"/>
    </xf>
    <xf numFmtId="176" fontId="0" fillId="0" borderId="44" xfId="0" applyNumberFormat="1" applyBorder="1">
      <alignment vertical="center"/>
    </xf>
    <xf numFmtId="0" fontId="0" fillId="0" borderId="4" xfId="0" applyFill="1" applyBorder="1">
      <alignment vertical="center"/>
    </xf>
    <xf numFmtId="0" fontId="0" fillId="0" borderId="45" xfId="0" applyBorder="1">
      <alignment vertical="center"/>
    </xf>
    <xf numFmtId="0" fontId="19" fillId="0" borderId="0" xfId="0" applyFont="1" applyFill="1" applyBorder="1" applyAlignment="1">
      <alignment horizontal="center" vertical="center"/>
    </xf>
    <xf numFmtId="0" fontId="19" fillId="0" borderId="40" xfId="0" applyFont="1" applyFill="1" applyBorder="1" applyAlignment="1">
      <alignment horizontal="center" vertical="center"/>
    </xf>
    <xf numFmtId="0" fontId="7" fillId="0" borderId="41" xfId="0" applyFont="1" applyBorder="1">
      <alignment vertical="center"/>
    </xf>
    <xf numFmtId="0" fontId="10" fillId="0" borderId="35" xfId="0" applyFont="1" applyFill="1" applyBorder="1" applyProtection="1">
      <alignment vertical="center"/>
      <protection locked="0"/>
    </xf>
    <xf numFmtId="0" fontId="10" fillId="0" borderId="35" xfId="0" applyFont="1" applyBorder="1">
      <alignment vertical="center"/>
    </xf>
    <xf numFmtId="0" fontId="15" fillId="0" borderId="20" xfId="0" applyFont="1" applyFill="1" applyBorder="1">
      <alignment vertical="center"/>
    </xf>
    <xf numFmtId="0" fontId="23" fillId="0" borderId="0" xfId="0" applyFont="1" applyFill="1" applyAlignment="1">
      <alignment horizontal="right" vertical="center"/>
    </xf>
    <xf numFmtId="0" fontId="23" fillId="0" borderId="0" xfId="0" applyFont="1" applyBorder="1" applyAlignment="1">
      <alignment vertical="center"/>
    </xf>
    <xf numFmtId="0" fontId="23" fillId="0" borderId="0" xfId="0" applyFont="1" applyFill="1" applyBorder="1" applyAlignment="1">
      <alignment horizontal="right" vertical="center"/>
    </xf>
    <xf numFmtId="0" fontId="22" fillId="0" borderId="0" xfId="0" applyFont="1" applyBorder="1">
      <alignment vertical="center"/>
    </xf>
    <xf numFmtId="0" fontId="0" fillId="8" borderId="0" xfId="0" applyFill="1">
      <alignment vertical="center"/>
    </xf>
    <xf numFmtId="176" fontId="0" fillId="0" borderId="1" xfId="0" applyNumberFormat="1" applyBorder="1">
      <alignment vertical="center"/>
    </xf>
    <xf numFmtId="176" fontId="0" fillId="0" borderId="1" xfId="0" applyNumberFormat="1" applyBorder="1" applyAlignment="1">
      <alignment vertical="center" shrinkToFit="1"/>
    </xf>
    <xf numFmtId="57" fontId="0" fillId="0" borderId="1" xfId="0" applyNumberFormat="1" applyBorder="1" applyAlignment="1">
      <alignment vertical="center" shrinkToFit="1"/>
    </xf>
    <xf numFmtId="0" fontId="14" fillId="0" borderId="0" xfId="0" applyFont="1" applyAlignment="1">
      <alignment vertical="center" shrinkToFit="1"/>
    </xf>
    <xf numFmtId="0" fontId="0" fillId="0" borderId="0" xfId="0" applyAlignment="1">
      <alignment vertical="center" shrinkToFit="1"/>
    </xf>
    <xf numFmtId="38" fontId="0" fillId="0" borderId="2" xfId="1" applyFont="1" applyFill="1" applyBorder="1" applyAlignment="1">
      <alignment vertical="center" shrinkToFit="1"/>
    </xf>
    <xf numFmtId="0" fontId="0" fillId="0" borderId="4" xfId="0" applyBorder="1" applyAlignment="1">
      <alignment vertical="center" shrinkToFit="1"/>
    </xf>
    <xf numFmtId="0" fontId="0" fillId="8" borderId="0" xfId="0" applyFill="1" applyAlignment="1">
      <alignment vertical="center" shrinkToFit="1"/>
    </xf>
    <xf numFmtId="0" fontId="0" fillId="0" borderId="13" xfId="0" applyBorder="1" applyAlignment="1">
      <alignment vertical="center" shrinkToFit="1"/>
    </xf>
    <xf numFmtId="0" fontId="0" fillId="0" borderId="4" xfId="0" applyFill="1" applyBorder="1" applyAlignment="1">
      <alignment vertical="center" shrinkToFit="1"/>
    </xf>
    <xf numFmtId="0" fontId="0" fillId="0" borderId="0" xfId="0" applyFill="1" applyBorder="1" applyAlignment="1">
      <alignment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38" fontId="0" fillId="0" borderId="0" xfId="1" applyFont="1" applyAlignment="1">
      <alignment vertical="center" shrinkToFit="1"/>
    </xf>
    <xf numFmtId="0" fontId="0" fillId="0" borderId="2" xfId="0" applyBorder="1" applyAlignment="1">
      <alignment horizontal="left" vertical="center" shrinkToFit="1"/>
    </xf>
    <xf numFmtId="38" fontId="0" fillId="0" borderId="2" xfId="1" applyFont="1" applyBorder="1" applyAlignment="1">
      <alignment vertical="center" shrinkToFit="1"/>
    </xf>
    <xf numFmtId="0" fontId="0" fillId="0" borderId="7" xfId="0" applyBorder="1" applyAlignment="1">
      <alignment horizontal="center" vertical="center" shrinkToFit="1"/>
    </xf>
    <xf numFmtId="0" fontId="0" fillId="2" borderId="15" xfId="0" applyFill="1" applyBorder="1" applyAlignment="1">
      <alignment horizontal="center" vertical="center" shrinkToFit="1"/>
    </xf>
    <xf numFmtId="0" fontId="0" fillId="0" borderId="9" xfId="0" applyBorder="1" applyAlignment="1">
      <alignment horizontal="center" vertical="center" shrinkToFit="1"/>
    </xf>
    <xf numFmtId="38" fontId="0" fillId="5" borderId="2" xfId="1" applyFont="1" applyFill="1" applyBorder="1" applyAlignment="1">
      <alignment vertical="center" shrinkToFit="1"/>
    </xf>
    <xf numFmtId="0" fontId="0" fillId="2" borderId="3" xfId="0" applyFill="1" applyBorder="1" applyAlignment="1">
      <alignment vertical="center" shrinkToFit="1"/>
    </xf>
    <xf numFmtId="38" fontId="0" fillId="5" borderId="9" xfId="1" applyFont="1" applyFill="1" applyBorder="1" applyAlignment="1">
      <alignment vertical="center" shrinkToFit="1"/>
    </xf>
    <xf numFmtId="38" fontId="0" fillId="0" borderId="6" xfId="0" applyNumberFormat="1" applyBorder="1" applyAlignment="1">
      <alignment vertical="center" shrinkToFit="1"/>
    </xf>
    <xf numFmtId="0" fontId="0" fillId="0" borderId="2" xfId="0" applyBorder="1" applyAlignment="1">
      <alignment vertical="center" shrinkToFit="1"/>
    </xf>
    <xf numFmtId="38" fontId="0" fillId="2" borderId="2" xfId="1" applyFont="1" applyFill="1" applyBorder="1" applyAlignment="1">
      <alignment vertical="center" shrinkToFit="1"/>
    </xf>
    <xf numFmtId="0" fontId="0" fillId="3" borderId="2" xfId="0" applyFill="1" applyBorder="1" applyAlignment="1">
      <alignment vertical="center" shrinkToFit="1"/>
    </xf>
    <xf numFmtId="0" fontId="0" fillId="4" borderId="2" xfId="0" applyFill="1" applyBorder="1" applyAlignment="1">
      <alignment vertical="center" shrinkToFit="1"/>
    </xf>
    <xf numFmtId="0" fontId="0" fillId="0" borderId="2" xfId="0" applyBorder="1" applyAlignment="1">
      <alignment horizontal="center" vertical="center" shrinkToFit="1"/>
    </xf>
    <xf numFmtId="176" fontId="0" fillId="0" borderId="2" xfId="0" applyNumberFormat="1" applyBorder="1" applyAlignment="1">
      <alignment vertical="center" shrinkToFit="1"/>
    </xf>
    <xf numFmtId="0" fontId="0" fillId="13" borderId="2" xfId="0" applyFill="1" applyBorder="1" applyAlignment="1">
      <alignment vertical="center" shrinkToFit="1"/>
    </xf>
    <xf numFmtId="0" fontId="0" fillId="9" borderId="0" xfId="0" applyFill="1" applyBorder="1" applyAlignment="1">
      <alignment vertical="center" shrinkToFit="1"/>
    </xf>
    <xf numFmtId="0" fontId="0" fillId="5" borderId="2" xfId="0" applyFill="1" applyBorder="1" applyAlignment="1">
      <alignment vertical="center" shrinkToFit="1"/>
    </xf>
    <xf numFmtId="0" fontId="0" fillId="0" borderId="10" xfId="0" applyBorder="1" applyAlignment="1">
      <alignment horizontal="center" vertical="center" shrinkToFit="1"/>
    </xf>
    <xf numFmtId="0" fontId="0" fillId="0" borderId="2" xfId="0" applyFill="1" applyBorder="1" applyAlignment="1">
      <alignment horizontal="left" vertical="center" shrinkToFit="1"/>
    </xf>
    <xf numFmtId="38" fontId="0" fillId="5" borderId="10" xfId="1" applyFont="1" applyFill="1" applyBorder="1" applyAlignment="1">
      <alignment vertical="center" shrinkToFit="1"/>
    </xf>
    <xf numFmtId="38" fontId="0" fillId="5" borderId="4" xfId="1" applyFont="1" applyFill="1" applyBorder="1" applyAlignment="1">
      <alignment vertical="center" shrinkToFit="1"/>
    </xf>
    <xf numFmtId="38" fontId="0" fillId="5" borderId="3" xfId="1" applyFont="1" applyFill="1" applyBorder="1" applyAlignment="1">
      <alignment vertical="center" shrinkToFit="1"/>
    </xf>
    <xf numFmtId="0" fontId="0" fillId="0" borderId="1" xfId="0" applyFill="1" applyBorder="1" applyAlignment="1">
      <alignment horizontal="left" vertical="center" shrinkToFit="1"/>
    </xf>
    <xf numFmtId="0" fontId="0" fillId="5" borderId="1" xfId="0" applyFill="1" applyBorder="1" applyAlignment="1">
      <alignment horizontal="right" vertical="center" shrinkToFit="1"/>
    </xf>
    <xf numFmtId="38" fontId="0" fillId="0" borderId="0" xfId="0" applyNumberFormat="1" applyAlignment="1">
      <alignment vertical="center" shrinkToFit="1"/>
    </xf>
    <xf numFmtId="38" fontId="0" fillId="2" borderId="1" xfId="0" applyNumberFormat="1" applyFill="1" applyBorder="1" applyAlignment="1">
      <alignment vertical="center" shrinkToFit="1"/>
    </xf>
    <xf numFmtId="38" fontId="0" fillId="8" borderId="1" xfId="0" applyNumberFormat="1" applyFill="1" applyBorder="1" applyAlignment="1">
      <alignment vertical="center" shrinkToFit="1"/>
    </xf>
    <xf numFmtId="0" fontId="0" fillId="0" borderId="0" xfId="0" applyBorder="1" applyAlignment="1">
      <alignment vertical="center" shrinkToFit="1"/>
    </xf>
    <xf numFmtId="0" fontId="0" fillId="0" borderId="45" xfId="0" applyBorder="1" applyAlignment="1">
      <alignment vertical="center" shrinkToFit="1"/>
    </xf>
    <xf numFmtId="0" fontId="0" fillId="0" borderId="45" xfId="0" applyBorder="1" applyAlignment="1">
      <alignment horizontal="center" vertical="center" shrinkToFit="1"/>
    </xf>
    <xf numFmtId="0" fontId="0" fillId="0" borderId="0" xfId="0" applyFill="1" applyAlignment="1">
      <alignment vertical="center" shrinkToFit="1"/>
    </xf>
    <xf numFmtId="38" fontId="0" fillId="0" borderId="0" xfId="1" applyFont="1" applyFill="1" applyAlignment="1">
      <alignment vertical="center" shrinkToFit="1"/>
    </xf>
    <xf numFmtId="38" fontId="0" fillId="0" borderId="0" xfId="1" applyFont="1" applyFill="1">
      <alignment vertical="center"/>
    </xf>
    <xf numFmtId="0" fontId="0" fillId="0" borderId="0" xfId="0" applyFill="1" applyAlignment="1">
      <alignment horizontal="center" vertical="center" shrinkToFit="1"/>
    </xf>
    <xf numFmtId="0" fontId="0" fillId="13" borderId="0" xfId="0" applyFill="1" applyBorder="1" applyAlignment="1">
      <alignment vertical="center" shrinkToFit="1"/>
    </xf>
    <xf numFmtId="0" fontId="0" fillId="0" borderId="50" xfId="0" applyBorder="1">
      <alignment vertical="center"/>
    </xf>
    <xf numFmtId="0" fontId="0" fillId="0" borderId="37" xfId="0" applyFill="1" applyBorder="1" applyAlignment="1">
      <alignment horizontal="left" vertical="center"/>
    </xf>
    <xf numFmtId="0" fontId="0" fillId="2" borderId="37" xfId="0" applyFill="1" applyBorder="1" applyAlignment="1">
      <alignment horizontal="left" vertical="center" shrinkToFit="1"/>
    </xf>
    <xf numFmtId="0" fontId="0" fillId="3" borderId="37" xfId="0" applyFill="1" applyBorder="1" applyAlignment="1">
      <alignment horizontal="left" vertical="center" shrinkToFit="1"/>
    </xf>
    <xf numFmtId="0" fontId="0" fillId="0" borderId="9" xfId="0" applyBorder="1">
      <alignment vertical="center"/>
    </xf>
    <xf numFmtId="0" fontId="0" fillId="0" borderId="51" xfId="0" applyBorder="1">
      <alignment vertical="center"/>
    </xf>
    <xf numFmtId="176" fontId="0" fillId="0" borderId="6" xfId="0" applyNumberFormat="1" applyFill="1" applyBorder="1">
      <alignment vertical="center"/>
    </xf>
    <xf numFmtId="38" fontId="0" fillId="0" borderId="6" xfId="1" applyFont="1" applyFill="1" applyBorder="1" applyAlignment="1">
      <alignment vertical="center" shrinkToFit="1"/>
    </xf>
    <xf numFmtId="0" fontId="0" fillId="6" borderId="52" xfId="0" applyFill="1" applyBorder="1">
      <alignment vertical="center"/>
    </xf>
    <xf numFmtId="176" fontId="0" fillId="6" borderId="53" xfId="0" applyNumberFormat="1" applyFill="1" applyBorder="1">
      <alignment vertical="center"/>
    </xf>
    <xf numFmtId="38" fontId="0" fillId="6" borderId="53" xfId="1" applyFont="1" applyFill="1" applyBorder="1" applyAlignment="1">
      <alignment vertical="center" shrinkToFit="1"/>
    </xf>
    <xf numFmtId="0" fontId="0" fillId="6" borderId="21" xfId="0" applyFill="1" applyBorder="1">
      <alignment vertical="center"/>
    </xf>
    <xf numFmtId="176" fontId="0" fillId="6" borderId="22" xfId="0" applyNumberFormat="1" applyFill="1" applyBorder="1">
      <alignment vertical="center"/>
    </xf>
    <xf numFmtId="38" fontId="0" fillId="6" borderId="22" xfId="1" applyFont="1" applyFill="1" applyBorder="1" applyAlignment="1">
      <alignment vertical="center" shrinkToFit="1"/>
    </xf>
    <xf numFmtId="0" fontId="0" fillId="0" borderId="39" xfId="0" applyBorder="1" applyAlignment="1">
      <alignment horizontal="left" vertical="center" shrinkToFit="1"/>
    </xf>
    <xf numFmtId="38" fontId="0" fillId="0" borderId="57" xfId="1" applyFont="1" applyBorder="1" applyAlignment="1">
      <alignment vertical="center" shrinkToFit="1"/>
    </xf>
    <xf numFmtId="38" fontId="0" fillId="0" borderId="58" xfId="1" applyFont="1" applyBorder="1" applyAlignment="1">
      <alignment vertical="center" shrinkToFit="1"/>
    </xf>
    <xf numFmtId="38" fontId="0" fillId="6" borderId="5" xfId="1" applyFont="1" applyFill="1" applyBorder="1" applyAlignment="1">
      <alignment vertical="center" shrinkToFit="1"/>
    </xf>
    <xf numFmtId="38" fontId="0" fillId="6" borderId="19" xfId="1" applyFont="1" applyFill="1" applyBorder="1" applyAlignment="1">
      <alignment vertical="center" shrinkToFit="1"/>
    </xf>
    <xf numFmtId="0" fontId="0" fillId="0" borderId="36" xfId="0" applyBorder="1" applyAlignment="1">
      <alignment horizontal="left" vertical="center" shrinkToFit="1"/>
    </xf>
    <xf numFmtId="38" fontId="0" fillId="0" borderId="28" xfId="1" applyFont="1" applyBorder="1" applyAlignment="1">
      <alignment vertical="center" shrinkToFit="1"/>
    </xf>
    <xf numFmtId="38" fontId="0" fillId="0" borderId="59" xfId="1" applyFont="1" applyBorder="1" applyAlignment="1">
      <alignment vertical="center" shrinkToFit="1"/>
    </xf>
    <xf numFmtId="38" fontId="0" fillId="6" borderId="1" xfId="1" applyFont="1" applyFill="1" applyBorder="1" applyAlignment="1">
      <alignment vertical="center" shrinkToFit="1"/>
    </xf>
    <xf numFmtId="38" fontId="0" fillId="6" borderId="48" xfId="1" applyFont="1" applyFill="1" applyBorder="1" applyAlignment="1">
      <alignment vertical="center" shrinkToFit="1"/>
    </xf>
    <xf numFmtId="0" fontId="0" fillId="9" borderId="15" xfId="0" applyFill="1" applyBorder="1" applyAlignment="1">
      <alignment horizontal="left" vertical="center" shrinkToFit="1"/>
    </xf>
    <xf numFmtId="38" fontId="0" fillId="0" borderId="3" xfId="1" applyFont="1" applyFill="1" applyBorder="1">
      <alignment vertical="center"/>
    </xf>
    <xf numFmtId="38" fontId="0" fillId="0" borderId="54" xfId="1" applyFont="1" applyFill="1" applyBorder="1">
      <alignment vertical="center"/>
    </xf>
    <xf numFmtId="38" fontId="0" fillId="6" borderId="55" xfId="1" applyFont="1" applyFill="1" applyBorder="1">
      <alignment vertical="center"/>
    </xf>
    <xf numFmtId="38" fontId="0" fillId="6" borderId="56" xfId="1" applyFont="1" applyFill="1" applyBorder="1">
      <alignment vertical="center"/>
    </xf>
    <xf numFmtId="38" fontId="0" fillId="13" borderId="0" xfId="1" applyFont="1" applyFill="1" applyAlignment="1">
      <alignment vertical="center" shrinkToFit="1"/>
    </xf>
    <xf numFmtId="178" fontId="21" fillId="0" borderId="0" xfId="0" applyNumberFormat="1" applyFont="1" applyBorder="1" applyAlignment="1">
      <alignment vertical="center" shrinkToFit="1"/>
    </xf>
    <xf numFmtId="0" fontId="19" fillId="0" borderId="20" xfId="0" applyFont="1" applyFill="1" applyBorder="1" applyAlignment="1">
      <alignment horizontal="left" vertical="center"/>
    </xf>
    <xf numFmtId="0" fontId="26" fillId="0" borderId="20" xfId="0" applyFont="1" applyFill="1" applyBorder="1" applyAlignment="1">
      <alignment horizontal="left" vertical="center"/>
    </xf>
    <xf numFmtId="0" fontId="0" fillId="0" borderId="6" xfId="0" applyBorder="1" applyAlignment="1">
      <alignment horizontal="center" vertical="center" shrinkToFit="1"/>
    </xf>
    <xf numFmtId="0" fontId="0" fillId="0" borderId="8" xfId="0" applyBorder="1" applyAlignment="1">
      <alignment horizontal="center" vertical="center" shrinkToFit="1"/>
    </xf>
    <xf numFmtId="38" fontId="0" fillId="0" borderId="21" xfId="0" applyNumberFormat="1" applyBorder="1" applyAlignment="1">
      <alignment horizontal="center" vertical="center" shrinkToFit="1"/>
    </xf>
    <xf numFmtId="38" fontId="0" fillId="0" borderId="22" xfId="0" applyNumberFormat="1" applyBorder="1" applyAlignment="1">
      <alignment horizontal="center" vertical="center" shrinkToFit="1"/>
    </xf>
    <xf numFmtId="38" fontId="0" fillId="0" borderId="23" xfId="0" applyNumberFormat="1" applyBorder="1" applyAlignment="1">
      <alignment horizontal="center" vertical="center" shrinkToFit="1"/>
    </xf>
    <xf numFmtId="38" fontId="0" fillId="8" borderId="24" xfId="1" applyFont="1" applyFill="1" applyBorder="1" applyAlignment="1">
      <alignment horizontal="center" vertical="center" shrinkToFit="1"/>
    </xf>
    <xf numFmtId="38" fontId="0" fillId="8" borderId="25" xfId="1" applyFont="1" applyFill="1" applyBorder="1" applyAlignment="1">
      <alignment horizontal="center" vertical="center" shrinkToFit="1"/>
    </xf>
    <xf numFmtId="38" fontId="0" fillId="8" borderId="5" xfId="1"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0" xfId="0" applyAlignment="1">
      <alignment horizontal="center" vertical="center" shrinkToFit="1"/>
    </xf>
    <xf numFmtId="0" fontId="0" fillId="9" borderId="0" xfId="0" applyFill="1" applyAlignment="1">
      <alignment horizontal="center" vertical="center"/>
    </xf>
    <xf numFmtId="0" fontId="0" fillId="0" borderId="49" xfId="0" applyBorder="1" applyAlignment="1">
      <alignment horizontal="center" vertical="center" shrinkToFit="1"/>
    </xf>
    <xf numFmtId="0" fontId="0" fillId="0" borderId="19"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28" fillId="0" borderId="0"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2" fillId="0" borderId="43" xfId="0" applyFont="1" applyFill="1" applyBorder="1" applyAlignment="1">
      <alignment horizontal="left" vertical="center"/>
    </xf>
    <xf numFmtId="0" fontId="22" fillId="0" borderId="46" xfId="0" applyFont="1" applyFill="1" applyBorder="1" applyAlignment="1">
      <alignment horizontal="left" vertical="center"/>
    </xf>
    <xf numFmtId="0" fontId="22" fillId="0" borderId="47" xfId="0" applyFont="1" applyFill="1" applyBorder="1" applyAlignment="1">
      <alignment horizontal="left" vertical="center"/>
    </xf>
    <xf numFmtId="0" fontId="27" fillId="0" borderId="0" xfId="0" applyFont="1" applyFill="1" applyBorder="1" applyAlignment="1">
      <alignment horizontal="left" vertical="center" wrapText="1"/>
    </xf>
    <xf numFmtId="0" fontId="12" fillId="0" borderId="20" xfId="0" applyFont="1" applyBorder="1" applyAlignment="1">
      <alignment horizontal="right" vertical="center"/>
    </xf>
    <xf numFmtId="0" fontId="12" fillId="0" borderId="0" xfId="0" applyFont="1" applyBorder="1" applyAlignment="1">
      <alignment horizontal="right" vertical="center"/>
    </xf>
    <xf numFmtId="0" fontId="18" fillId="5" borderId="24" xfId="0" applyFont="1" applyFill="1" applyBorder="1" applyAlignment="1">
      <alignment horizontal="center" vertical="center"/>
    </xf>
    <xf numFmtId="0" fontId="18" fillId="5" borderId="25" xfId="0" applyFont="1" applyFill="1" applyBorder="1" applyAlignment="1">
      <alignment horizontal="center" vertical="center"/>
    </xf>
    <xf numFmtId="0" fontId="18" fillId="5" borderId="5" xfId="0" applyFont="1" applyFill="1" applyBorder="1" applyAlignment="1">
      <alignment horizontal="center" vertical="center"/>
    </xf>
    <xf numFmtId="0" fontId="10" fillId="8" borderId="24" xfId="0" applyFont="1" applyFill="1" applyBorder="1" applyAlignment="1">
      <alignment horizontal="center" vertical="center"/>
    </xf>
    <xf numFmtId="0" fontId="17" fillId="8" borderId="25" xfId="0" applyFont="1" applyFill="1" applyBorder="1" applyAlignment="1">
      <alignment horizontal="center" vertical="center"/>
    </xf>
    <xf numFmtId="0" fontId="17" fillId="8" borderId="5" xfId="0" applyFont="1" applyFill="1" applyBorder="1" applyAlignment="1">
      <alignment horizontal="center" vertical="center"/>
    </xf>
    <xf numFmtId="0" fontId="19" fillId="5" borderId="24"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5" xfId="0" applyFont="1" applyFill="1" applyBorder="1" applyAlignment="1">
      <alignment horizontal="center" vertical="center"/>
    </xf>
    <xf numFmtId="0" fontId="5" fillId="9" borderId="24" xfId="0" applyFont="1" applyFill="1" applyBorder="1" applyAlignment="1" applyProtection="1">
      <alignment horizontal="left" vertical="center"/>
      <protection locked="0"/>
    </xf>
    <xf numFmtId="0" fontId="5" fillId="9" borderId="5" xfId="0" applyFont="1" applyFill="1" applyBorder="1" applyAlignment="1" applyProtection="1">
      <alignment horizontal="left" vertical="center"/>
      <protection locked="0"/>
    </xf>
    <xf numFmtId="0" fontId="25" fillId="0" borderId="0" xfId="0" applyFont="1" applyBorder="1" applyAlignment="1">
      <alignment horizontal="left" vertical="center" wrapText="1"/>
    </xf>
    <xf numFmtId="0" fontId="25" fillId="0" borderId="40" xfId="0" applyFont="1" applyBorder="1" applyAlignment="1">
      <alignment horizontal="left" vertical="center" wrapText="1"/>
    </xf>
  </cellXfs>
  <cellStyles count="2">
    <cellStyle name="桁区切り" xfId="1" builtinId="6"/>
    <cellStyle name="標準" xfId="0" builtinId="0"/>
  </cellStyles>
  <dxfs count="3">
    <dxf>
      <font>
        <color rgb="FFFF0000"/>
      </font>
      <fill>
        <patternFill>
          <bgColor rgb="FFFFFF66"/>
        </patternFill>
      </fill>
    </dxf>
    <dxf>
      <font>
        <color rgb="FFFF0000"/>
      </font>
      <fill>
        <patternFill>
          <bgColor rgb="FFFFFF66"/>
        </patternFill>
      </fill>
    </dxf>
    <dxf>
      <font>
        <color rgb="FFFF0000"/>
      </font>
      <fill>
        <patternFill patternType="none">
          <bgColor auto="1"/>
        </patternFill>
      </fill>
    </dxf>
  </dxfs>
  <tableStyles count="0" defaultTableStyle="TableStyleMedium2" defaultPivotStyle="PivotStyleLight16"/>
  <colors>
    <mruColors>
      <color rgb="FFFFFF99"/>
      <color rgb="FF99FF66"/>
      <color rgb="FFFFCC99"/>
      <color rgb="FFFF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07095-E99D-41DF-9CAE-4835613EA905}">
  <sheetPr codeName="Sheet1"/>
  <dimension ref="A1:G12"/>
  <sheetViews>
    <sheetView workbookViewId="0">
      <selection activeCell="E2" sqref="E2"/>
    </sheetView>
  </sheetViews>
  <sheetFormatPr defaultRowHeight="18.75"/>
  <cols>
    <col min="1" max="1" width="9.5" style="1" bestFit="1" customWidth="1"/>
    <col min="2" max="2" width="13" style="1" bestFit="1" customWidth="1"/>
    <col min="3" max="3" width="12.5" bestFit="1" customWidth="1"/>
    <col min="5" max="5" width="9.5" bestFit="1" customWidth="1"/>
    <col min="7" max="7" width="9.5" bestFit="1" customWidth="1"/>
  </cols>
  <sheetData>
    <row r="1" spans="1:7" ht="19.5" thickBot="1">
      <c r="A1" s="1" t="s">
        <v>1</v>
      </c>
      <c r="B1" s="1" t="s">
        <v>2</v>
      </c>
      <c r="E1" t="s">
        <v>7</v>
      </c>
      <c r="G1" t="s">
        <v>0</v>
      </c>
    </row>
    <row r="2" spans="1:7" ht="19.5" thickBot="1">
      <c r="A2" s="1">
        <v>550999</v>
      </c>
      <c r="B2" s="1">
        <v>0</v>
      </c>
      <c r="E2" s="3">
        <v>3456789</v>
      </c>
      <c r="G2" s="2">
        <f>IF(E2&gt;$A$11,E2+$B$12,IF(E2&gt;$A$10,(E2*0.9-110000),IF(E2&gt;$A$9,(ROUNDDOWN(E2/4,-3)*3.2-440000),IF(E2&gt;$A$8,(ROUNDDOWN(E2/4,-3)*2.8-80000),IF(E2&gt;$A$7,(ROUNDDOWN(E2/4,-3)*2.4+100000),IF(E2&gt;$A$6,$B$7,IF(E2&gt;$A$5,$B$6,IF(E2&gt;$A$4,$B$5,IF(E2&gt;$A$3,$B$4,IF(E2&gt;$A$2,E2+$B$3,0))))))))))</f>
        <v>2339200</v>
      </c>
    </row>
    <row r="3" spans="1:7">
      <c r="A3" s="1">
        <v>1618999</v>
      </c>
      <c r="B3" s="1">
        <v>-550000</v>
      </c>
    </row>
    <row r="4" spans="1:7" ht="19.5" thickBot="1">
      <c r="A4" s="1">
        <v>1619999</v>
      </c>
      <c r="B4" s="1">
        <v>1069000</v>
      </c>
    </row>
    <row r="5" spans="1:7" ht="19.5" thickBot="1">
      <c r="A5" s="1">
        <v>1621999</v>
      </c>
      <c r="B5" s="1">
        <v>1070000</v>
      </c>
      <c r="G5" s="2">
        <f>IF(E2&gt;8499999,(E2-1950000),IF(E2&gt;6599999,(E2*0.9-110000),IF(E2&gt;3599999,(ROUNDDOWN(E2/4,-3)*3.2-440000),IF(E2&gt;1799999,(ROUNDDOWN(E2/4,-3)*2.8-80000),IF(E2&gt;1627999,(ROUNDDOWN(E2/4,-3)*2.4+100000),IF(E2&gt;1623999,1074000,IF(E2&gt;1621999,1072000,IF(E2&gt;1619999,1070000,IF(E2&gt;1618999,1069000,IF(E2&gt;550999,E2-550000,0))))))))))</f>
        <v>2339200</v>
      </c>
    </row>
    <row r="6" spans="1:7">
      <c r="A6" s="1">
        <v>1623999</v>
      </c>
      <c r="B6" s="1">
        <v>1072000</v>
      </c>
    </row>
    <row r="7" spans="1:7">
      <c r="A7" s="1">
        <v>1627999</v>
      </c>
      <c r="B7" s="1">
        <v>1074000</v>
      </c>
    </row>
    <row r="8" spans="1:7">
      <c r="A8" s="1">
        <v>1799999</v>
      </c>
      <c r="B8" s="1">
        <v>4</v>
      </c>
      <c r="C8" s="1" t="s">
        <v>3</v>
      </c>
    </row>
    <row r="9" spans="1:7">
      <c r="A9" s="1">
        <v>3599999</v>
      </c>
      <c r="B9" s="1">
        <v>4</v>
      </c>
      <c r="C9" t="s">
        <v>4</v>
      </c>
    </row>
    <row r="10" spans="1:7">
      <c r="A10" s="1">
        <v>6599999</v>
      </c>
      <c r="B10" s="1">
        <v>4</v>
      </c>
      <c r="C10" t="s">
        <v>5</v>
      </c>
    </row>
    <row r="11" spans="1:7">
      <c r="A11" s="1">
        <v>8499999</v>
      </c>
      <c r="C11" t="s">
        <v>6</v>
      </c>
    </row>
    <row r="12" spans="1:7">
      <c r="B12" s="1">
        <v>-1950000</v>
      </c>
    </row>
  </sheetData>
  <customSheetViews>
    <customSheetView guid="{14298813-7872-4CE0-BBAF-FBF5FE57D512}" state="hidden">
      <selection activeCell="E12" sqref="E12"/>
      <pageMargins left="0.7" right="0.7" top="0.75" bottom="0.75" header="0.3" footer="0.3"/>
      <pageSetup paperSize="9" orientation="portrait" r:id="rId1"/>
    </customSheetView>
  </customSheetViews>
  <phoneticPr fontId="2"/>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C79F-8DCD-43DD-B478-4312438A1C20}">
  <sheetPr codeName="Sheet2"/>
  <dimension ref="A1:V40"/>
  <sheetViews>
    <sheetView topLeftCell="A25" workbookViewId="0">
      <selection activeCell="B22" sqref="B22"/>
    </sheetView>
  </sheetViews>
  <sheetFormatPr defaultRowHeight="18.75"/>
  <cols>
    <col min="1" max="1" width="15.125" bestFit="1" customWidth="1"/>
    <col min="2" max="2" width="9.625" customWidth="1"/>
    <col min="3" max="4" width="9.625" style="98" customWidth="1"/>
    <col min="5" max="5" width="9.625" customWidth="1"/>
    <col min="6" max="7" width="9.625" style="98" customWidth="1"/>
    <col min="8" max="8" width="9.625" style="107" customWidth="1"/>
    <col min="9" max="22" width="9.625" style="98" customWidth="1"/>
  </cols>
  <sheetData>
    <row r="1" spans="1:22" ht="19.5" thickBot="1">
      <c r="A1" t="s">
        <v>42</v>
      </c>
      <c r="B1" s="94">
        <v>45292</v>
      </c>
      <c r="C1" s="95">
        <v>45383</v>
      </c>
      <c r="D1" s="96">
        <v>45748</v>
      </c>
      <c r="G1" s="107"/>
      <c r="H1" s="98"/>
    </row>
    <row r="2" spans="1:22">
      <c r="A2" t="s">
        <v>43</v>
      </c>
      <c r="B2" s="11" t="str">
        <f>IFERROR(VLOOKUP(試算シート!A12,料率等!$G$2:$H$3,2,FALSE),"")</f>
        <v/>
      </c>
      <c r="C2" s="97" t="str">
        <f>IFERROR(IF(AND(N5="〇",B2=1),"世帯主が既に７５歳になっています。擬制世帯主を選んでください。",VLOOKUP(B2,料率等!$H$2:$I$3,2,FALSE)),"")</f>
        <v/>
      </c>
      <c r="G2" s="107"/>
      <c r="H2" s="98"/>
    </row>
    <row r="3" spans="1:22" ht="19.5" thickBot="1">
      <c r="B3" s="6"/>
      <c r="I3" s="98" t="s">
        <v>116</v>
      </c>
      <c r="J3" s="98" t="s">
        <v>117</v>
      </c>
      <c r="O3" s="98" t="s">
        <v>118</v>
      </c>
    </row>
    <row r="4" spans="1:22">
      <c r="A4" s="144" t="s">
        <v>10</v>
      </c>
      <c r="B4" s="145" t="s">
        <v>16</v>
      </c>
      <c r="C4" s="146" t="s">
        <v>17</v>
      </c>
      <c r="D4" s="147" t="s">
        <v>18</v>
      </c>
      <c r="E4" s="168" t="s">
        <v>19</v>
      </c>
      <c r="F4" s="163" t="s">
        <v>20</v>
      </c>
      <c r="G4" s="163" t="s">
        <v>110</v>
      </c>
      <c r="H4" s="158" t="s">
        <v>74</v>
      </c>
      <c r="I4" s="100" t="s">
        <v>109</v>
      </c>
      <c r="J4" s="117" t="s">
        <v>108</v>
      </c>
      <c r="K4" s="118" t="s">
        <v>21</v>
      </c>
      <c r="L4" s="119" t="s">
        <v>22</v>
      </c>
      <c r="M4" s="120" t="s">
        <v>23</v>
      </c>
      <c r="N4" s="137" t="s">
        <v>24</v>
      </c>
      <c r="O4" s="117" t="s">
        <v>114</v>
      </c>
      <c r="P4" s="117" t="s">
        <v>100</v>
      </c>
      <c r="Q4" s="117" t="s">
        <v>97</v>
      </c>
      <c r="R4" s="117" t="s">
        <v>98</v>
      </c>
      <c r="S4" s="117" t="s">
        <v>99</v>
      </c>
      <c r="T4" s="117" t="s">
        <v>102</v>
      </c>
      <c r="U4" s="117" t="s">
        <v>103</v>
      </c>
      <c r="V4" s="117" t="s">
        <v>106</v>
      </c>
    </row>
    <row r="5" spans="1:22">
      <c r="A5" s="148" t="s">
        <v>9</v>
      </c>
      <c r="B5" s="12" t="str">
        <f>IF(試算シート!B21=0,"",試算シート!B21)</f>
        <v/>
      </c>
      <c r="C5" s="99">
        <f>IF(OR(試算シート!C21=0,試算シート!C21=""),0,試算シート!C21)</f>
        <v>0</v>
      </c>
      <c r="D5" s="99">
        <f>IF(OR(試算シート!D21=0,試算シート!D21=""),0,試算シート!D21)</f>
        <v>0</v>
      </c>
      <c r="E5" s="169">
        <f>IF(OR(試算シート!E21=0,試算シート!E21=""),0,試算シート!E21)</f>
        <v>0</v>
      </c>
      <c r="F5" s="164" t="str">
        <f t="shared" ref="F5:F10" si="0">IF(B5="","",K5+L5-M5+E5)</f>
        <v/>
      </c>
      <c r="G5" s="164" t="str">
        <f>IF(AND(I5&gt;=65,L5&lt;&gt;0),F5-150000,F5)</f>
        <v/>
      </c>
      <c r="H5" s="159" t="str">
        <f t="shared" ref="H5:H10" si="1">IFERROR(IF((F5-430000)&gt;=0,F5-430000,0),"")</f>
        <v/>
      </c>
      <c r="I5" s="100" t="str">
        <f t="shared" ref="I5:I10" si="2">IF(B5="","",DATEDIF(B5,$B$1,"Y"))</f>
        <v/>
      </c>
      <c r="J5" s="117" t="str">
        <f t="shared" ref="J5:J10" si="3">IF(B5="","",DATEDIF(B5,$C$1,"Y"))</f>
        <v/>
      </c>
      <c r="K5" s="109">
        <f t="shared" ref="K5:K10" si="4">IF(C5&gt;8499999,(C5-1950000),IF(C5&gt;6599999,(C5*0.9-110000),IF(C5&gt;3599999,(ROUNDDOWN(C5/4,-3)*3.2-440000),IF(C5&gt;1799999,(ROUNDDOWN(C5/4,-3)*2.8-80000),IF(C5&gt;1627999,(ROUNDDOWN(C5/4,-3)*2.4+100000),IF(C5&gt;1623999,1074000,IF(C5&gt;1621999,1072000,IF(C5&gt;1619999,1070000,IF(C5&gt;1618999,1069000,IF(C5&gt;550999,C5-550000,0))))))))))</f>
        <v>0</v>
      </c>
      <c r="L5" s="109">
        <f t="shared" ref="L5:L10" si="5">IF(AND(I5&gt;64,D5&gt;4099999),ROUNDDOWN((D5*0.85-685000),-1),IF(AND(I5&gt;64,D5&gt;3299999),ROUNDDOWN((D5*0.75-275000),-1),IF(AND(I5&gt;64,D5&gt;1100000),ROUNDDOWN((D5*1-1100000),-1),IF(AND(I5&gt;64,D5&lt;=1100000),0,IF(AND(I5&lt;65,D5&gt;4099999),ROUNDDOWN((D5*0.85-685000),-1),IF(AND(I5&lt;65,D5&gt;1299999),ROUNDDOWN((D5*0.75-275000),-1),IF(AND(I5&lt;65,D5&gt;400000),ROUNDDOWN((D5*1-600000),-1),IF(AND(I5&lt;64,D5&lt;=400000),0))))))))</f>
        <v>0</v>
      </c>
      <c r="M5" s="109">
        <f>IF(AND(K5&gt;=100000,L5&gt;=100000),100000,IF(AND(K5&gt;=100000,L5&lt;100000),L5,IF(AND(K5&lt;100000,L5&gt;=100000),K5,0)))</f>
        <v>0</v>
      </c>
      <c r="N5" s="138" t="str">
        <f>IF(B5="","",IF(B2=2,"〇",IF(AND(I5&gt;=75,O5&gt;75),"〇","")))</f>
        <v/>
      </c>
      <c r="O5" s="117" t="str">
        <f t="shared" ref="O5:O10" si="6">IF(B5="","",DATEDIF(B5,$D$1,"Y"))</f>
        <v/>
      </c>
      <c r="P5" s="117" t="str">
        <f>IF(B5="","",DATEDIF(B5,$D$1,"YM"))</f>
        <v/>
      </c>
      <c r="Q5" s="122">
        <f>IFERROR(DATE(YEAR($B5)+40,MONTH($B5),DAY(0)),0)</f>
        <v>0</v>
      </c>
      <c r="R5" s="122">
        <f>IFERROR(DATE(YEAR($B5)+65,MONTH($B5),DAY(0)),0)</f>
        <v>0</v>
      </c>
      <c r="S5" s="122">
        <f>IFERROR(DATE(YEAR($B5)+75,MONTH($B5),DAY(0)),0)</f>
        <v>0</v>
      </c>
      <c r="T5" s="117">
        <f>IFERROR(IF(J5&gt;=65,0,IF(AND(J5&lt;40,O5&lt;40),0,IF(AND(J5&lt;40,O5&gt;=40),DATEDIF(Q5,"2024/3/31","M"),IF(O5&lt;65,12,DATEDIF($B$25,R5,"M")+1)))),0)</f>
        <v>0</v>
      </c>
      <c r="U5" s="117">
        <f t="shared" ref="U5:U10" si="7">IF(I5&gt;=75,0,IF(AND(I5&lt;75,O5=75),DATEDIF($B$25,S5,"M")+1,IF(O5&lt;75,12)))</f>
        <v>0</v>
      </c>
      <c r="V5" s="123">
        <f>IF(T5=0,0,IF($B$25&gt;R5,0,IF(AND($B$25&lt;=R5,$B$25&gt;=Q5),$B$23,IF($B$25&lt;Q5,T5))))</f>
        <v>0</v>
      </c>
    </row>
    <row r="6" spans="1:22">
      <c r="A6" s="148" t="s">
        <v>11</v>
      </c>
      <c r="B6" s="12" t="str">
        <f>IF(試算シート!B22=0,"",試算シート!B22)</f>
        <v/>
      </c>
      <c r="C6" s="99">
        <f>IF(OR(試算シート!C22=0,試算シート!C22=""),0,試算シート!C22)</f>
        <v>0</v>
      </c>
      <c r="D6" s="99">
        <f>IF(OR(試算シート!D22=0,試算シート!D22=""),0,試算シート!D22)</f>
        <v>0</v>
      </c>
      <c r="E6" s="169">
        <f>IF(OR(試算シート!E22=0,試算シート!E22=""),0,試算シート!E22)</f>
        <v>0</v>
      </c>
      <c r="F6" s="164" t="str">
        <f t="shared" si="0"/>
        <v/>
      </c>
      <c r="G6" s="164" t="str">
        <f t="shared" ref="G6:G10" si="8">IF(AND(I6&gt;=65,L6&lt;&gt;0),F6-150000,F6)</f>
        <v/>
      </c>
      <c r="H6" s="159" t="str">
        <f t="shared" si="1"/>
        <v/>
      </c>
      <c r="I6" s="100" t="str">
        <f t="shared" si="2"/>
        <v/>
      </c>
      <c r="J6" s="117" t="str">
        <f t="shared" si="3"/>
        <v/>
      </c>
      <c r="K6" s="109">
        <f t="shared" si="4"/>
        <v>0</v>
      </c>
      <c r="L6" s="109">
        <f t="shared" si="5"/>
        <v>0</v>
      </c>
      <c r="M6" s="109">
        <f t="shared" ref="M6:M10" si="9">IF(AND(K6&gt;=100000,L6&gt;=100000),100000,IF(AND(K6&gt;=100000,L6&lt;100000),L6,IF(AND(K6&lt;100000,L6&gt;=100000),K6,0)))</f>
        <v>0</v>
      </c>
      <c r="N6" s="136"/>
      <c r="O6" s="117" t="str">
        <f t="shared" si="6"/>
        <v/>
      </c>
      <c r="P6" s="117"/>
      <c r="Q6" s="122">
        <f t="shared" ref="Q6:Q10" si="10">IFERROR(DATE(YEAR($B6)+40,MONTH($B6),DAY(0)),0)</f>
        <v>0</v>
      </c>
      <c r="R6" s="122">
        <f t="shared" ref="R6:R10" si="11">IFERROR(DATE(YEAR($B6)+65,MONTH($B6),DAY(0)),0)</f>
        <v>0</v>
      </c>
      <c r="S6" s="122">
        <f t="shared" ref="S6:S10" si="12">IFERROR(DATE(YEAR($B6)+75,MONTH($B6),DAY(0)),0)</f>
        <v>0</v>
      </c>
      <c r="T6" s="117">
        <f t="shared" ref="T6:T10" si="13">IFERROR(IF(J6&gt;=65,0,IF(AND(J6&lt;40,O6&lt;40),0,IF(AND(J6&lt;40,O6&gt;=40),DATEDIF(Q6,"2024/3/31","M"),IF(O6&lt;65,12,DATEDIF($B$25,R6,"M")+1)))),0)</f>
        <v>0</v>
      </c>
      <c r="U6" s="117">
        <f t="shared" si="7"/>
        <v>0</v>
      </c>
      <c r="V6" s="123">
        <f t="shared" ref="V6:V10" si="14">IF(T6=0,0,IF($B$25&gt;R6,0,IF(AND($B$25&lt;=R6,$B$25&gt;=Q6),$B$23,IF($B$25&lt;Q6,T6))))</f>
        <v>0</v>
      </c>
    </row>
    <row r="7" spans="1:22">
      <c r="A7" s="148" t="s">
        <v>12</v>
      </c>
      <c r="B7" s="12" t="str">
        <f>IF(試算シート!B23=0,"",試算シート!B23)</f>
        <v/>
      </c>
      <c r="C7" s="99">
        <f>IF(OR(試算シート!C23=0,試算シート!C23=""),0,試算シート!C23)</f>
        <v>0</v>
      </c>
      <c r="D7" s="99">
        <f>IF(OR(試算シート!D23=0,試算シート!D23=""),0,試算シート!D23)</f>
        <v>0</v>
      </c>
      <c r="E7" s="169">
        <f>IF(OR(試算シート!E23=0,試算シート!E23=""),0,試算シート!E23)</f>
        <v>0</v>
      </c>
      <c r="F7" s="164" t="str">
        <f t="shared" si="0"/>
        <v/>
      </c>
      <c r="G7" s="164" t="str">
        <f t="shared" si="8"/>
        <v/>
      </c>
      <c r="H7" s="159" t="str">
        <f t="shared" si="1"/>
        <v/>
      </c>
      <c r="I7" s="100" t="str">
        <f t="shared" si="2"/>
        <v/>
      </c>
      <c r="J7" s="117" t="str">
        <f t="shared" si="3"/>
        <v/>
      </c>
      <c r="K7" s="109">
        <f t="shared" si="4"/>
        <v>0</v>
      </c>
      <c r="L7" s="109">
        <f t="shared" si="5"/>
        <v>0</v>
      </c>
      <c r="M7" s="109">
        <f t="shared" si="9"/>
        <v>0</v>
      </c>
      <c r="N7" s="136"/>
      <c r="O7" s="117" t="str">
        <f t="shared" si="6"/>
        <v/>
      </c>
      <c r="P7" s="117"/>
      <c r="Q7" s="122">
        <f t="shared" si="10"/>
        <v>0</v>
      </c>
      <c r="R7" s="122">
        <f t="shared" si="11"/>
        <v>0</v>
      </c>
      <c r="S7" s="122">
        <f t="shared" si="12"/>
        <v>0</v>
      </c>
      <c r="T7" s="117">
        <f t="shared" si="13"/>
        <v>0</v>
      </c>
      <c r="U7" s="117">
        <f t="shared" si="7"/>
        <v>0</v>
      </c>
      <c r="V7" s="123">
        <f t="shared" si="14"/>
        <v>0</v>
      </c>
    </row>
    <row r="8" spans="1:22">
      <c r="A8" s="148" t="s">
        <v>13</v>
      </c>
      <c r="B8" s="12" t="str">
        <f>IF(試算シート!B24=0,"",試算シート!B24)</f>
        <v/>
      </c>
      <c r="C8" s="99">
        <f>IF(OR(試算シート!C24=0,試算シート!C24=""),0,試算シート!C24)</f>
        <v>0</v>
      </c>
      <c r="D8" s="99">
        <f>IF(OR(試算シート!D24=0,試算シート!D24=""),0,試算シート!D24)</f>
        <v>0</v>
      </c>
      <c r="E8" s="169">
        <f>IF(OR(試算シート!E24=0,試算シート!E24=""),0,試算シート!E24)</f>
        <v>0</v>
      </c>
      <c r="F8" s="164" t="str">
        <f t="shared" si="0"/>
        <v/>
      </c>
      <c r="G8" s="164" t="str">
        <f t="shared" si="8"/>
        <v/>
      </c>
      <c r="H8" s="159" t="str">
        <f t="shared" si="1"/>
        <v/>
      </c>
      <c r="I8" s="100" t="str">
        <f t="shared" si="2"/>
        <v/>
      </c>
      <c r="J8" s="117" t="str">
        <f t="shared" si="3"/>
        <v/>
      </c>
      <c r="K8" s="109">
        <f t="shared" si="4"/>
        <v>0</v>
      </c>
      <c r="L8" s="109">
        <f t="shared" si="5"/>
        <v>0</v>
      </c>
      <c r="M8" s="109">
        <f t="shared" si="9"/>
        <v>0</v>
      </c>
      <c r="N8" s="136"/>
      <c r="O8" s="117" t="str">
        <f t="shared" si="6"/>
        <v/>
      </c>
      <c r="P8" s="117"/>
      <c r="Q8" s="122">
        <f t="shared" si="10"/>
        <v>0</v>
      </c>
      <c r="R8" s="122">
        <f t="shared" si="11"/>
        <v>0</v>
      </c>
      <c r="S8" s="122">
        <f t="shared" si="12"/>
        <v>0</v>
      </c>
      <c r="T8" s="117">
        <f t="shared" si="13"/>
        <v>0</v>
      </c>
      <c r="U8" s="117">
        <f t="shared" si="7"/>
        <v>0</v>
      </c>
      <c r="V8" s="123">
        <f t="shared" si="14"/>
        <v>0</v>
      </c>
    </row>
    <row r="9" spans="1:22">
      <c r="A9" s="148" t="s">
        <v>14</v>
      </c>
      <c r="B9" s="12" t="str">
        <f>IF(試算シート!B25=0,"",試算シート!B25)</f>
        <v/>
      </c>
      <c r="C9" s="99">
        <f>IF(OR(試算シート!C25=0,試算シート!C25=""),0,試算シート!C25)</f>
        <v>0</v>
      </c>
      <c r="D9" s="99">
        <f>IF(OR(試算シート!D25=0,試算シート!D25=""),0,試算シート!D25)</f>
        <v>0</v>
      </c>
      <c r="E9" s="169">
        <f>IF(OR(試算シート!E25=0,試算シート!E25=""),0,試算シート!E25)</f>
        <v>0</v>
      </c>
      <c r="F9" s="164" t="str">
        <f t="shared" si="0"/>
        <v/>
      </c>
      <c r="G9" s="164" t="str">
        <f t="shared" si="8"/>
        <v/>
      </c>
      <c r="H9" s="159" t="str">
        <f t="shared" si="1"/>
        <v/>
      </c>
      <c r="I9" s="100" t="str">
        <f t="shared" si="2"/>
        <v/>
      </c>
      <c r="J9" s="117" t="str">
        <f t="shared" si="3"/>
        <v/>
      </c>
      <c r="K9" s="109">
        <f t="shared" si="4"/>
        <v>0</v>
      </c>
      <c r="L9" s="109">
        <f t="shared" si="5"/>
        <v>0</v>
      </c>
      <c r="M9" s="109">
        <f t="shared" si="9"/>
        <v>0</v>
      </c>
      <c r="N9" s="136"/>
      <c r="O9" s="117" t="str">
        <f t="shared" si="6"/>
        <v/>
      </c>
      <c r="P9" s="117"/>
      <c r="Q9" s="122">
        <f t="shared" si="10"/>
        <v>0</v>
      </c>
      <c r="R9" s="122">
        <f t="shared" si="11"/>
        <v>0</v>
      </c>
      <c r="S9" s="122">
        <f t="shared" si="12"/>
        <v>0</v>
      </c>
      <c r="T9" s="117">
        <f t="shared" si="13"/>
        <v>0</v>
      </c>
      <c r="U9" s="117">
        <f t="shared" si="7"/>
        <v>0</v>
      </c>
      <c r="V9" s="123">
        <f t="shared" si="14"/>
        <v>0</v>
      </c>
    </row>
    <row r="10" spans="1:22" ht="19.5" thickBot="1">
      <c r="A10" s="149" t="s">
        <v>15</v>
      </c>
      <c r="B10" s="150" t="str">
        <f>IF(試算シート!B26=0,"",試算シート!B26)</f>
        <v/>
      </c>
      <c r="C10" s="151">
        <f>IF(OR(試算シート!C26=0,試算シート!C26=""),0,試算シート!C26)</f>
        <v>0</v>
      </c>
      <c r="D10" s="151">
        <f>IF(OR(試算シート!D26=0,試算シート!D26=""),0,試算シート!D26)</f>
        <v>0</v>
      </c>
      <c r="E10" s="170">
        <f>IF(OR(試算シート!E26=0,試算シート!E26=""),0,試算シート!E26)</f>
        <v>0</v>
      </c>
      <c r="F10" s="165" t="str">
        <f t="shared" si="0"/>
        <v/>
      </c>
      <c r="G10" s="165" t="str">
        <f t="shared" si="8"/>
        <v/>
      </c>
      <c r="H10" s="160" t="str">
        <f t="shared" si="1"/>
        <v/>
      </c>
      <c r="I10" s="100" t="str">
        <f t="shared" si="2"/>
        <v/>
      </c>
      <c r="J10" s="117" t="str">
        <f t="shared" si="3"/>
        <v/>
      </c>
      <c r="K10" s="109">
        <f t="shared" si="4"/>
        <v>0</v>
      </c>
      <c r="L10" s="109">
        <f t="shared" si="5"/>
        <v>0</v>
      </c>
      <c r="M10" s="109">
        <f t="shared" si="9"/>
        <v>0</v>
      </c>
      <c r="N10" s="136"/>
      <c r="O10" s="117" t="str">
        <f t="shared" si="6"/>
        <v/>
      </c>
      <c r="P10" s="117"/>
      <c r="Q10" s="122">
        <f t="shared" si="10"/>
        <v>0</v>
      </c>
      <c r="R10" s="122">
        <f t="shared" si="11"/>
        <v>0</v>
      </c>
      <c r="S10" s="122">
        <f t="shared" si="12"/>
        <v>0</v>
      </c>
      <c r="T10" s="117">
        <f t="shared" si="13"/>
        <v>0</v>
      </c>
      <c r="U10" s="117">
        <f t="shared" si="7"/>
        <v>0</v>
      </c>
      <c r="V10" s="123">
        <f t="shared" si="14"/>
        <v>0</v>
      </c>
    </row>
    <row r="11" spans="1:22" ht="19.5" thickBot="1">
      <c r="A11" s="155" t="s">
        <v>72</v>
      </c>
      <c r="B11" s="156"/>
      <c r="C11" s="157"/>
      <c r="D11" s="157"/>
      <c r="E11" s="171"/>
      <c r="F11" s="166"/>
      <c r="G11" s="166">
        <f>SUM(G5:G10)</f>
        <v>0</v>
      </c>
      <c r="H11" s="161"/>
      <c r="K11" s="107"/>
      <c r="L11" s="107"/>
      <c r="M11" s="107"/>
    </row>
    <row r="12" spans="1:22" ht="19.5" thickBot="1">
      <c r="A12" s="152" t="s">
        <v>73</v>
      </c>
      <c r="B12" s="153"/>
      <c r="C12" s="154"/>
      <c r="D12" s="154"/>
      <c r="E12" s="172"/>
      <c r="F12" s="167"/>
      <c r="G12" s="167"/>
      <c r="H12" s="162">
        <f>IFERROR(IF(B2=2,SUM(H6:H10),SUM(H5:H10)),"")</f>
        <v>0</v>
      </c>
      <c r="K12" s="107"/>
      <c r="L12" s="107"/>
      <c r="M12" s="107"/>
    </row>
    <row r="14" spans="1:22">
      <c r="A14" s="13" t="s">
        <v>25</v>
      </c>
      <c r="E14" s="189" t="s">
        <v>111</v>
      </c>
      <c r="F14" s="189"/>
      <c r="G14" s="189"/>
      <c r="H14" s="189"/>
      <c r="I14" s="189"/>
      <c r="J14" s="189"/>
      <c r="K14" s="189"/>
      <c r="L14" s="189"/>
      <c r="M14" s="189"/>
      <c r="N14" s="189"/>
      <c r="O14" s="189"/>
      <c r="P14" s="189"/>
      <c r="Q14" s="124" t="s">
        <v>39</v>
      </c>
    </row>
    <row r="15" spans="1:22">
      <c r="A15" s="4" t="s">
        <v>26</v>
      </c>
      <c r="B15" s="7">
        <f>COUNT(B5:B10)-COUNTIF(B2,2)</f>
        <v>0</v>
      </c>
      <c r="C15" s="100" t="s">
        <v>31</v>
      </c>
      <c r="E15" s="141">
        <v>430000</v>
      </c>
      <c r="F15" s="142" t="s">
        <v>32</v>
      </c>
      <c r="G15" s="140">
        <v>100000</v>
      </c>
      <c r="H15" s="142" t="s">
        <v>33</v>
      </c>
      <c r="I15" s="143">
        <f>IF(B13-1&lt;=0,0,B13-1)</f>
        <v>0</v>
      </c>
      <c r="J15" s="142" t="s">
        <v>34</v>
      </c>
      <c r="K15" s="173">
        <f>E15+G15*I15</f>
        <v>430000</v>
      </c>
      <c r="L15" s="139"/>
      <c r="M15" s="104"/>
      <c r="N15" s="139"/>
      <c r="O15" s="139"/>
      <c r="P15" s="139"/>
      <c r="Q15" s="124" t="s">
        <v>35</v>
      </c>
    </row>
    <row r="16" spans="1:22">
      <c r="A16" s="4" t="s">
        <v>27</v>
      </c>
      <c r="B16" s="8">
        <f>COUNTIF($J$5:$J$10,"&gt;39")-COUNTIF($J$5:$J$10,"&gt;=65")-(COUNTIFS(J5:J10,"&lt;65",N5:N10,"〇"))</f>
        <v>0</v>
      </c>
      <c r="C16" s="100" t="s">
        <v>31</v>
      </c>
      <c r="E16" s="141">
        <v>430000</v>
      </c>
      <c r="F16" s="142" t="s">
        <v>32</v>
      </c>
      <c r="G16" s="140">
        <v>295000</v>
      </c>
      <c r="H16" s="142" t="s">
        <v>33</v>
      </c>
      <c r="I16" s="143">
        <f>$B$15</f>
        <v>0</v>
      </c>
      <c r="J16" s="142" t="s">
        <v>32</v>
      </c>
      <c r="K16" s="140">
        <v>100000</v>
      </c>
      <c r="L16" s="142" t="s">
        <v>33</v>
      </c>
      <c r="M16" s="143">
        <f>IF($B$18-1&lt;=0,0,$B$18-1)</f>
        <v>0</v>
      </c>
      <c r="N16" s="142" t="s">
        <v>36</v>
      </c>
      <c r="O16" s="173">
        <f>E16+(G16*I16)+(K16*M16)</f>
        <v>430000</v>
      </c>
      <c r="P16" s="139"/>
      <c r="Q16" s="124" t="s">
        <v>37</v>
      </c>
    </row>
    <row r="17" spans="1:20">
      <c r="A17" s="4" t="s">
        <v>28</v>
      </c>
      <c r="B17" s="8">
        <f>COUNTIF($I$5:$I$10,"&lt;7")</f>
        <v>0</v>
      </c>
      <c r="C17" s="100" t="s">
        <v>31</v>
      </c>
      <c r="E17" s="141">
        <v>430000</v>
      </c>
      <c r="F17" s="142" t="s">
        <v>32</v>
      </c>
      <c r="G17" s="140">
        <v>545000</v>
      </c>
      <c r="H17" s="142" t="s">
        <v>33</v>
      </c>
      <c r="I17" s="143">
        <f>$B$15</f>
        <v>0</v>
      </c>
      <c r="J17" s="142" t="s">
        <v>32</v>
      </c>
      <c r="K17" s="140">
        <v>100000</v>
      </c>
      <c r="L17" s="142" t="s">
        <v>33</v>
      </c>
      <c r="M17" s="143">
        <f>IF($B$18-1&lt;=0,0,$B$18-1)</f>
        <v>0</v>
      </c>
      <c r="N17" s="142" t="s">
        <v>36</v>
      </c>
      <c r="O17" s="173">
        <f>E17+(G17*I17)+(K17*M17)</f>
        <v>430000</v>
      </c>
      <c r="P17" s="139"/>
      <c r="Q17" s="124" t="s">
        <v>38</v>
      </c>
    </row>
    <row r="18" spans="1:20">
      <c r="A18" s="4" t="s">
        <v>30</v>
      </c>
      <c r="B18" s="8">
        <f>IF(COUNTIF(C6:D6,"&gt;0")&gt;=1,1,0)+IF(COUNTIF(C7:D7,"&gt;0")&gt;=1,1,0)+IF(COUNTIF(C8:D8,"&gt;0")&gt;=1,1,0)+IF(COUNTIF(C9:D9,"&gt;0")&gt;=1,1,0)+IF(COUNTIF(C10:D10,"&gt;0")&gt;=1,1,0)+IF(COUNTIF(C5:D5,"&gt;0")&gt;=1,1,0)</f>
        <v>0</v>
      </c>
      <c r="C18" s="100" t="s">
        <v>31</v>
      </c>
    </row>
    <row r="19" spans="1:20" ht="19.5" thickBot="1"/>
    <row r="20" spans="1:20" ht="19.5" thickBot="1">
      <c r="A20" s="9" t="s">
        <v>41</v>
      </c>
      <c r="B20" s="10" t="str">
        <f>IF(G11&lt;=K15,"7割",IF(AND(G11&gt;K15,G11&lt;=O16),"5割",IF(AND(G11&gt;O16,G11&lt;=O17),"2割","軽減なし")))</f>
        <v>7割</v>
      </c>
      <c r="C20" s="101">
        <f>VLOOKUP(B20,料率等!$D$17:$E$20,2,FALSE)</f>
        <v>0.3</v>
      </c>
    </row>
    <row r="21" spans="1:20">
      <c r="A21" s="15"/>
      <c r="B21" s="16"/>
    </row>
    <row r="22" spans="1:20">
      <c r="A22" s="17" t="s">
        <v>58</v>
      </c>
      <c r="B22" s="18">
        <f>試算シート!B30</f>
        <v>0</v>
      </c>
      <c r="C22" s="100" t="s">
        <v>60</v>
      </c>
      <c r="H22" s="98"/>
    </row>
    <row r="23" spans="1:20">
      <c r="A23" s="17" t="s">
        <v>59</v>
      </c>
      <c r="B23" s="18" t="str">
        <f>IFERROR(VLOOKUP($B$22,料率等!A:B,2,FALSE),"")</f>
        <v/>
      </c>
      <c r="C23" s="100" t="s">
        <v>61</v>
      </c>
      <c r="H23" s="98"/>
    </row>
    <row r="24" spans="1:20">
      <c r="A24" s="81" t="s">
        <v>104</v>
      </c>
      <c r="B24" s="82">
        <f>B22-4</f>
        <v>-4</v>
      </c>
      <c r="C24" s="100" t="s">
        <v>61</v>
      </c>
    </row>
    <row r="25" spans="1:20">
      <c r="A25" s="79" t="s">
        <v>105</v>
      </c>
      <c r="B25" s="80">
        <f>EDATE(C1,B24)</f>
        <v>45261</v>
      </c>
      <c r="C25" s="102"/>
      <c r="D25" s="101" t="s">
        <v>115</v>
      </c>
      <c r="E25" s="93" t="s">
        <v>115</v>
      </c>
    </row>
    <row r="26" spans="1:20">
      <c r="A26" s="17" t="s">
        <v>101</v>
      </c>
      <c r="B26" s="82">
        <f>IF(MAX(V5:V10)&gt;=$B$23,$B$23,MAX(V5:V10))</f>
        <v>0</v>
      </c>
      <c r="C26" s="103" t="s">
        <v>61</v>
      </c>
      <c r="D26" s="101">
        <f>IF(B26=0,0,IF(B23=E26,B23,E26))</f>
        <v>0</v>
      </c>
      <c r="E26" s="93">
        <f>IFERROR(SMALL(V5:V10,COUNTIF(V5:V10,0)+1),0)</f>
        <v>0</v>
      </c>
    </row>
    <row r="27" spans="1:20">
      <c r="A27" s="16"/>
      <c r="C27" s="104"/>
    </row>
    <row r="28" spans="1:20" ht="19.5" thickBot="1">
      <c r="A28" t="s">
        <v>112</v>
      </c>
      <c r="B28" s="188" t="str">
        <f>IF(AND((MIN(U5:U10)+1)&lt;B23,_xlfn.MAXIFS($J$5:$J$11,N5:N11,"")&lt;75,_xlfn.MAXIFS(O5:O11,N5:N11,"")&gt;=75),"年度内に７５歳になる国民健康保険加入者がいるため、正しく計算されていません。","")</f>
        <v/>
      </c>
      <c r="C28" s="188"/>
      <c r="D28" s="188"/>
      <c r="E28" s="188"/>
      <c r="F28" s="188"/>
      <c r="G28" s="188"/>
    </row>
    <row r="29" spans="1:20" ht="19.5" thickBot="1">
      <c r="B29" s="190" t="str">
        <f>IF(B26=D26,"",IF(AND(D26=12,B26=B23),"","年度内に40歳または65歳になる国民健康保険加入者がいるため、正しく計算されていません。"))</f>
        <v/>
      </c>
      <c r="C29" s="190"/>
      <c r="D29" s="190"/>
      <c r="E29" s="190"/>
      <c r="F29" s="190"/>
      <c r="G29" s="191"/>
      <c r="H29" s="185" t="s">
        <v>44</v>
      </c>
      <c r="I29" s="186"/>
      <c r="J29" s="187"/>
      <c r="K29" s="185" t="s">
        <v>45</v>
      </c>
      <c r="L29" s="186"/>
      <c r="M29" s="187"/>
      <c r="N29" s="185" t="s">
        <v>46</v>
      </c>
      <c r="O29" s="186"/>
      <c r="P29" s="187"/>
      <c r="Q29" s="192" t="s">
        <v>40</v>
      </c>
      <c r="R29" s="177" t="s">
        <v>47</v>
      </c>
      <c r="S29" s="108" t="s">
        <v>48</v>
      </c>
      <c r="T29" s="125">
        <f>B15</f>
        <v>0</v>
      </c>
    </row>
    <row r="30" spans="1:20" ht="19.5" thickBot="1">
      <c r="A30" s="8"/>
      <c r="B30" s="9" t="s">
        <v>69</v>
      </c>
      <c r="C30" s="105" t="s">
        <v>70</v>
      </c>
      <c r="D30" s="105" t="s">
        <v>71</v>
      </c>
      <c r="E30" s="24" t="s">
        <v>50</v>
      </c>
      <c r="F30" s="110" t="s">
        <v>51</v>
      </c>
      <c r="G30" s="111" t="s">
        <v>52</v>
      </c>
      <c r="H30" s="112" t="s">
        <v>53</v>
      </c>
      <c r="I30" s="121" t="s">
        <v>54</v>
      </c>
      <c r="J30" s="126" t="s">
        <v>55</v>
      </c>
      <c r="K30" s="112" t="s">
        <v>53</v>
      </c>
      <c r="L30" s="121" t="s">
        <v>54</v>
      </c>
      <c r="M30" s="126" t="s">
        <v>55</v>
      </c>
      <c r="N30" s="112" t="s">
        <v>53</v>
      </c>
      <c r="O30" s="121" t="s">
        <v>54</v>
      </c>
      <c r="P30" s="126" t="s">
        <v>55</v>
      </c>
      <c r="Q30" s="193"/>
      <c r="R30" s="178"/>
      <c r="S30" s="127" t="s">
        <v>56</v>
      </c>
      <c r="T30" s="125" t="str">
        <f>B23</f>
        <v/>
      </c>
    </row>
    <row r="31" spans="1:20">
      <c r="A31" s="8" t="s">
        <v>9</v>
      </c>
      <c r="B31" s="25" t="str">
        <f t="shared" ref="B31:B36" si="15">IF(I5&lt;&gt;"",O5,"")</f>
        <v/>
      </c>
      <c r="C31" s="106" t="str">
        <f>IF($B$2=1,IF(V5&gt;1,"〇",""),"")</f>
        <v/>
      </c>
      <c r="D31" s="106" t="str">
        <f>IF($B$2=1,IF($B$31&lt;7,"〇",""),"")</f>
        <v/>
      </c>
      <c r="E31" s="19" t="str">
        <f>IF(B2=1,F5,"")</f>
        <v/>
      </c>
      <c r="F31" s="113">
        <f>IFERROR(IF(B2=1,IF((E31-430000)&lt;0,0,E31-430000),(E31-430000)*0.3),0)</f>
        <v>0</v>
      </c>
      <c r="G31" s="114" t="str">
        <f>IF(AND(B2=1,U5=$B$23),$B$23,IF(AND(B2=1,U5&lt;B23),U5,B23))</f>
        <v/>
      </c>
      <c r="H31" s="115" t="str">
        <f>IFERROR(IF(B2=2,"",F31*料率等!$E$2/100*G31/12),"")</f>
        <v/>
      </c>
      <c r="I31" s="113" t="str">
        <f>IF(AND(B2=1,D31&lt;&gt;"〇"),料率等!E7*試算!G31/12*U33,IF(AND(B2=1,D31="〇"),(料率等!E7*試算!G31/12*U33)/2,""))</f>
        <v/>
      </c>
      <c r="J31" s="128" t="str">
        <f>IF(AND($B$2=1,$G$31=$T$30),(料率等!$E$12/試算!$T$29*試算!G31/12)*試算!$U$33,IF(AND($B$2=1,$G$31&lt;$T$30),(料率等!$E$12/試算!$T$29*$T$30/12)*試算!$U$33,""))</f>
        <v/>
      </c>
      <c r="K31" s="115" t="str">
        <f>IFERROR(IF(B2=2,"",F31*料率等!$E$3/100*試算!G31/12),"")</f>
        <v/>
      </c>
      <c r="L31" s="113" t="str">
        <f>IFERROR(IF(AND(B2=1,D31&lt;&gt;"〇"),(料率等!$E$8*試算!G31/12)*$U$33,IF(AND(B2=1,D31="〇"),((料率等!$E$8*試算!G31/12)*$U$33)/2,"")),"")</f>
        <v/>
      </c>
      <c r="M31" s="128" t="str">
        <f>IF(AND($B$2=1,$G$31=$T$30),(料率等!$E$13/試算!$T$29*試算!$G$31/12)*試算!$U$33,IF(AND($B$2=1,$G$31&lt;$T$30),(料率等!$E$13/試算!$T$29*$T$30/12)*試算!$U$33,""))</f>
        <v/>
      </c>
      <c r="N31" s="115" t="str">
        <f>IF(AND(B2=1,C31="〇"),F31*料率等!$E$4/100*$B$26/12,"")</f>
        <v/>
      </c>
      <c r="O31" s="113" t="str">
        <f>IF(AND(B2=1,C31="〇"),料率等!$E$9*$B$26/12*$U$33,"")</f>
        <v/>
      </c>
      <c r="P31" s="128" t="str">
        <f>IFERROR(IF(AND(B2=1,C31="〇"),料率等!$E$14/試算!$T$31*$B$26/12*U33,""),0)</f>
        <v/>
      </c>
      <c r="Q31" s="129">
        <f>SUM(H31:P31)</f>
        <v>0</v>
      </c>
      <c r="R31" s="113">
        <f>ROUND(Q31,-2)</f>
        <v>0</v>
      </c>
      <c r="S31" s="108" t="s">
        <v>57</v>
      </c>
      <c r="T31" s="125">
        <f>IF(COUNTIF(C31:C36,"〇")=B16,B16,COUNTIF(C31:C36,"〇"))</f>
        <v>0</v>
      </c>
    </row>
    <row r="32" spans="1:20" ht="19.5" thickBot="1">
      <c r="A32" s="8" t="s">
        <v>11</v>
      </c>
      <c r="B32" s="4" t="str">
        <f t="shared" si="15"/>
        <v/>
      </c>
      <c r="C32" s="106" t="str">
        <f>IF(V6&gt;1,"〇","")</f>
        <v/>
      </c>
      <c r="D32" s="106" t="str">
        <f>IF($B32&lt;7,"〇","")</f>
        <v/>
      </c>
      <c r="E32" s="14" t="str">
        <f>F6</f>
        <v/>
      </c>
      <c r="F32" s="113" t="str">
        <f>IFERROR(IF(B6&lt;&gt;"",IF((E32-430000)&lt;0,0,E32-430000),(E32-430000)*0.3),"")</f>
        <v/>
      </c>
      <c r="G32" s="114" t="str">
        <f>IF(B6&lt;&gt;"",IF(U6&lt;=$B$23,U6,$B$23),"")</f>
        <v/>
      </c>
      <c r="H32" s="115" t="str">
        <f>IFERROR(F32*料率等!$E$2/100*$G32/12,"")</f>
        <v/>
      </c>
      <c r="I32" s="113" t="str">
        <f>IFERROR(IF(D32="〇",(料率等!$E$7*試算!G32/12*$U$33)/2,料率等!$E$7*試算!G32/12*$U$33),"")</f>
        <v/>
      </c>
      <c r="J32" s="128" t="str">
        <f>IF(G32="","",IF(G32=$T$30,(料率等!$E$12/試算!$T$29*G32/12)*試算!$U$33,(料率等!$E$12/試算!$T$29*$T$30/12)*試算!$U$33))</f>
        <v/>
      </c>
      <c r="K32" s="115" t="str">
        <f>IFERROR(F32*料率等!$E$3/100*試算!G32/12,"")</f>
        <v/>
      </c>
      <c r="L32" s="113" t="str">
        <f>IFERROR(IF(D32="〇",((料率等!$E$8*G32/12)*$U$33)/2,(料率等!$E$8*G32/12)*$U$33),"")</f>
        <v/>
      </c>
      <c r="M32" s="128" t="str">
        <f>IF(G32="","",IF(G32=$T$30,(料率等!$E$13/試算!$T$29*試算!G32/12)*試算!$U$33,(料率等!$E$13/試算!$T$29*$T$30/12)*試算!$U$33))</f>
        <v/>
      </c>
      <c r="N32" s="115" t="str">
        <f>IF(C32="〇",F32*料率等!$E$4/100*$B$26/12,"")</f>
        <v/>
      </c>
      <c r="O32" s="113" t="str">
        <f>IF(C32="〇",料率等!$E$9*$B$26/12*$U$33,"")</f>
        <v/>
      </c>
      <c r="P32" s="128" t="str">
        <f>IF(C32="〇",料率等!$E$14/試算!$T$31*$B$26/12*$U$33,"")</f>
        <v/>
      </c>
      <c r="Q32" s="129">
        <f t="shared" ref="Q32:Q36" si="16">SUM(H32:P32)</f>
        <v>0</v>
      </c>
      <c r="R32" s="113">
        <f t="shared" ref="R32:R36" si="17">ROUND(Q32,-2)</f>
        <v>0</v>
      </c>
    </row>
    <row r="33" spans="1:21" ht="19.5" thickBot="1">
      <c r="A33" s="8" t="s">
        <v>12</v>
      </c>
      <c r="B33" s="4" t="str">
        <f t="shared" si="15"/>
        <v/>
      </c>
      <c r="C33" s="106" t="str">
        <f>IF(V7&gt;1,"〇","")</f>
        <v/>
      </c>
      <c r="D33" s="106" t="str">
        <f t="shared" ref="D33:D36" si="18">IF($B33&lt;7,"〇","")</f>
        <v/>
      </c>
      <c r="E33" s="14" t="str">
        <f>F7</f>
        <v/>
      </c>
      <c r="F33" s="113" t="str">
        <f>IFERROR(IF(B7&lt;&gt;"",IF((E33-430000)&lt;0,0,E33-430000),(E33-430000)*0.3),"")</f>
        <v/>
      </c>
      <c r="G33" s="114" t="str">
        <f>IF(B7&lt;&gt;"",IF(U7&lt;=$B$23,U7,$B$23),"")</f>
        <v/>
      </c>
      <c r="H33" s="115" t="str">
        <f>IFERROR(F33*料率等!$E$2/100*$G33/12,"")</f>
        <v/>
      </c>
      <c r="I33" s="113" t="str">
        <f>IFERROR(IF(D33="〇",(料率等!$E$7*試算!G33/12*$U$33)/2,料率等!$E$7*試算!G33/12*$U$33),"")</f>
        <v/>
      </c>
      <c r="J33" s="128" t="str">
        <f>IF(G33="","",IF(G33=$T$30,(料率等!$E$12/試算!$T$29*G33/12)*試算!$U$33,(料率等!$E$12/試算!$T$29*$T$30/12)*試算!$U$33))</f>
        <v/>
      </c>
      <c r="K33" s="115" t="str">
        <f>IFERROR(F33*料率等!$E$3/100*試算!G33/12,"")</f>
        <v/>
      </c>
      <c r="L33" s="113" t="str">
        <f>IFERROR(IF(D33="〇",((料率等!$E$8*G33/12)*$U$33)/2,(料率等!$E$8*G33/12)*$U$33),"")</f>
        <v/>
      </c>
      <c r="M33" s="128" t="str">
        <f>IF(G33="","",IF(G33=$T$30,(料率等!$E$13/試算!$T$29*試算!G33/12)*試算!$U$33,(料率等!$E$13/試算!$T$29*$T$30/12)*試算!$U$33))</f>
        <v/>
      </c>
      <c r="N33" s="115" t="str">
        <f>IF(C33="〇",F33*料率等!$E$4/100*$B$26/12,"")</f>
        <v/>
      </c>
      <c r="O33" s="113" t="str">
        <f>IF(C33="〇",料率等!$E$9*$B$26/12*$U$33,"")</f>
        <v/>
      </c>
      <c r="P33" s="128" t="str">
        <f>IF(C33="〇",料率等!$E$14/試算!$T$31*$B$26/12*$U$33,"")</f>
        <v/>
      </c>
      <c r="Q33" s="129">
        <f t="shared" si="16"/>
        <v>0</v>
      </c>
      <c r="R33" s="130">
        <f t="shared" si="17"/>
        <v>0</v>
      </c>
      <c r="S33" s="131" t="s">
        <v>39</v>
      </c>
      <c r="T33" s="132" t="str">
        <f>B20</f>
        <v>7割</v>
      </c>
      <c r="U33" s="98">
        <f>VLOOKUP(T33,料率等!$D$17:$E$20,2,FALSE)</f>
        <v>0.3</v>
      </c>
    </row>
    <row r="34" spans="1:21">
      <c r="A34" s="8" t="s">
        <v>13</v>
      </c>
      <c r="B34" s="4" t="str">
        <f t="shared" si="15"/>
        <v/>
      </c>
      <c r="C34" s="106" t="str">
        <f>IF(V8&gt;1,"〇","")</f>
        <v/>
      </c>
      <c r="D34" s="106" t="str">
        <f t="shared" si="18"/>
        <v/>
      </c>
      <c r="E34" s="14" t="str">
        <f>F8</f>
        <v/>
      </c>
      <c r="F34" s="113" t="str">
        <f>IFERROR(IF(B8&lt;&gt;"",IF((E34-430000)&lt;0,0,E34-430000),(E34-430000)*0.3),"")</f>
        <v/>
      </c>
      <c r="G34" s="114" t="str">
        <f>IF(B8&lt;&gt;"",IF(U8&lt;=$B$23,U8,$B$23),"")</f>
        <v/>
      </c>
      <c r="H34" s="115" t="str">
        <f>IFERROR(F34*料率等!$E$2/100*$G34/12,"")</f>
        <v/>
      </c>
      <c r="I34" s="113" t="str">
        <f>IFERROR(IF(D34="〇",(料率等!$E$7*試算!G34/12*$U$33)/2,料率等!$E$7*試算!G34/12*$U$33),"")</f>
        <v/>
      </c>
      <c r="J34" s="128" t="str">
        <f>IF(G34="","",IF(G34=$T$30,(料率等!$E$12/試算!$T$29*G34/12)*試算!$U$33,(料率等!$E$12/試算!$T$29*$T$30/12)*試算!$U$33))</f>
        <v/>
      </c>
      <c r="K34" s="115" t="str">
        <f>IFERROR(F34*料率等!$E$3/100*試算!G34/12,"")</f>
        <v/>
      </c>
      <c r="L34" s="113" t="str">
        <f>IFERROR(IF(D34="〇",((料率等!$E$8*G34/12)*$U$33)/2,(料率等!$E$8*G34/12)*$U$33),"")</f>
        <v/>
      </c>
      <c r="M34" s="128" t="str">
        <f>IF(G34="","",IF(G34=$T$30,(料率等!$E$13/試算!$T$29*試算!G34/12)*試算!$U$33,(料率等!$E$13/試算!$T$29*$T$30/12)*試算!$U$33))</f>
        <v/>
      </c>
      <c r="N34" s="115" t="str">
        <f>IF(C34="〇",F34*料率等!$E$4/100*$B$26/12,"")</f>
        <v/>
      </c>
      <c r="O34" s="113" t="str">
        <f>IF(C34="〇",料率等!$E$9*$B$26/12*$U$33,"")</f>
        <v/>
      </c>
      <c r="P34" s="128" t="str">
        <f>IF(C34="〇",料率等!$E$14/試算!$T$31*$B$26/12*$U$33,"")</f>
        <v/>
      </c>
      <c r="Q34" s="129">
        <f t="shared" si="16"/>
        <v>0</v>
      </c>
      <c r="R34" s="113">
        <f t="shared" si="17"/>
        <v>0</v>
      </c>
    </row>
    <row r="35" spans="1:21">
      <c r="A35" s="8" t="s">
        <v>14</v>
      </c>
      <c r="B35" s="4" t="str">
        <f t="shared" si="15"/>
        <v/>
      </c>
      <c r="C35" s="106" t="str">
        <f>IF(V9&gt;1,"〇","")</f>
        <v/>
      </c>
      <c r="D35" s="106" t="str">
        <f t="shared" si="18"/>
        <v/>
      </c>
      <c r="E35" s="14" t="str">
        <f>F9</f>
        <v/>
      </c>
      <c r="F35" s="113" t="str">
        <f>IFERROR(IF(B9&lt;&gt;"",IF((E35-430000)&lt;0,0,E35-430000),(E35-430000)*0.3),"")</f>
        <v/>
      </c>
      <c r="G35" s="114" t="str">
        <f>IF(B9&lt;&gt;"",IF(U9&lt;=$B$23,U9,$B$23),"")</f>
        <v/>
      </c>
      <c r="H35" s="115" t="str">
        <f>IFERROR(F35*料率等!$E$2/100*$G35/12,"")</f>
        <v/>
      </c>
      <c r="I35" s="113" t="str">
        <f>IFERROR(IF(D35="〇",(料率等!$E$7*試算!G35/12*$U$33)/2,料率等!$E$7*試算!G35/12*$U$33),"")</f>
        <v/>
      </c>
      <c r="J35" s="128" t="str">
        <f>IF(G35="","",IF(G35=$T$30,(料率等!$E$12/試算!$T$29*G35/12)*試算!$U$33,(料率等!$E$12/試算!$T$29*$T$30/12)*試算!$U$33))</f>
        <v/>
      </c>
      <c r="K35" s="115" t="str">
        <f>IFERROR(F35*料率等!$E$3/100*試算!G35/12,"")</f>
        <v/>
      </c>
      <c r="L35" s="113" t="str">
        <f>IFERROR(IF(D35="〇",((料率等!$E$8*G35/12)*$U$33)/2,(料率等!$E$8*G35/12)*$U$33),"")</f>
        <v/>
      </c>
      <c r="M35" s="128" t="str">
        <f>IF(G35="","",IF(G35=$T$30,(料率等!$E$13/試算!$T$29*試算!G35/12)*試算!$U$33,(料率等!$E$13/試算!$T$29*$T$30/12)*試算!$U$33))</f>
        <v/>
      </c>
      <c r="N35" s="115" t="str">
        <f>IF(C35="〇",F35*料率等!$E$4/100*$B$26/12,"")</f>
        <v/>
      </c>
      <c r="O35" s="113" t="str">
        <f>IF(C35="〇",料率等!$E$9*$B$26/12*$U$33,"")</f>
        <v/>
      </c>
      <c r="P35" s="128" t="str">
        <f>IF(C35="〇",料率等!$E$14/試算!$T$31*$B$26/12*$U$33,"")</f>
        <v/>
      </c>
      <c r="Q35" s="129">
        <f t="shared" si="16"/>
        <v>0</v>
      </c>
      <c r="R35" s="113">
        <f t="shared" si="17"/>
        <v>0</v>
      </c>
    </row>
    <row r="36" spans="1:21" ht="19.5" thickBot="1">
      <c r="A36" s="8" t="s">
        <v>15</v>
      </c>
      <c r="B36" s="4" t="str">
        <f t="shared" si="15"/>
        <v/>
      </c>
      <c r="C36" s="106" t="str">
        <f>IF(V10&gt;1,"〇","")</f>
        <v/>
      </c>
      <c r="D36" s="106" t="str">
        <f t="shared" si="18"/>
        <v/>
      </c>
      <c r="E36" s="14" t="str">
        <f>F10</f>
        <v/>
      </c>
      <c r="F36" s="113" t="str">
        <f>IFERROR(IF(B10&lt;&gt;"",IF((E36-430000)&lt;0,0,E36-430000),(E36-430000)*0.3),"")</f>
        <v/>
      </c>
      <c r="G36" s="114" t="str">
        <f>IF(B10&lt;&gt;"",IF(U10&lt;=$B$23,U10,$B$23),"")</f>
        <v/>
      </c>
      <c r="H36" s="115" t="str">
        <f>IFERROR(F36*料率等!$E$2/100*$G36/12,"")</f>
        <v/>
      </c>
      <c r="I36" s="113" t="str">
        <f>IFERROR(IF(D36="〇",(料率等!$E$7*試算!G36/12*$U$33)/2,料率等!$E$7*試算!G36/12*$U$33),"")</f>
        <v/>
      </c>
      <c r="J36" s="128" t="str">
        <f>IF(G36="","",IF(G36=$T$30,(料率等!$E$12/試算!$T$29*G36/12)*試算!$U$33,(料率等!$E$12/試算!$T$29*$T$30/12)*試算!$U$33))</f>
        <v/>
      </c>
      <c r="K36" s="115" t="str">
        <f>IFERROR(F36*料率等!$E$3/100*試算!G36/12,"")</f>
        <v/>
      </c>
      <c r="L36" s="113" t="str">
        <f>IFERROR(IF(D36="〇",((料率等!$E$8*G36/12)*$U$33)/2,(料率等!$E$8*G36/12)*$U$33),"")</f>
        <v/>
      </c>
      <c r="M36" s="128" t="str">
        <f>IF(G36="","",IF(G36=$T$30,(料率等!$E$13/試算!$T$29*試算!G36/12)*試算!$U$33,(料率等!$E$13/試算!$T$29*$T$30/12)*試算!$U$33))</f>
        <v/>
      </c>
      <c r="N36" s="115" t="str">
        <f>IF(C36="〇",F36*料率等!$E$4/100*$B$26/12,"")</f>
        <v/>
      </c>
      <c r="O36" s="113" t="str">
        <f>IF(C36="〇",料率等!$E$9*$B$26/12*$U$33,"")</f>
        <v/>
      </c>
      <c r="P36" s="128" t="str">
        <f>IF(C36="〇",料率等!$E$14/試算!$T$31*$B$26/12*$U$33,"")</f>
        <v/>
      </c>
      <c r="Q36" s="129">
        <f t="shared" si="16"/>
        <v>0</v>
      </c>
      <c r="R36" s="113">
        <f t="shared" si="17"/>
        <v>0</v>
      </c>
    </row>
    <row r="37" spans="1:21" ht="19.5" thickBot="1">
      <c r="H37" s="116">
        <f t="shared" ref="H37:R37" si="19">SUM(H31:H36)</f>
        <v>0</v>
      </c>
      <c r="I37" s="116">
        <f t="shared" si="19"/>
        <v>0</v>
      </c>
      <c r="J37" s="116">
        <f t="shared" si="19"/>
        <v>0</v>
      </c>
      <c r="K37" s="116">
        <f t="shared" si="19"/>
        <v>0</v>
      </c>
      <c r="L37" s="116">
        <f t="shared" si="19"/>
        <v>0</v>
      </c>
      <c r="M37" s="116">
        <f t="shared" si="19"/>
        <v>0</v>
      </c>
      <c r="N37" s="116">
        <f t="shared" si="19"/>
        <v>0</v>
      </c>
      <c r="O37" s="116">
        <f t="shared" si="19"/>
        <v>0</v>
      </c>
      <c r="P37" s="116">
        <f t="shared" si="19"/>
        <v>0</v>
      </c>
      <c r="Q37" s="133">
        <f t="shared" si="19"/>
        <v>0</v>
      </c>
      <c r="R37" s="134">
        <f t="shared" si="19"/>
        <v>0</v>
      </c>
    </row>
    <row r="38" spans="1:21" ht="19.5" thickBot="1">
      <c r="H38" s="179">
        <f>IF(SUM(H37:J37)&gt;=料率等!E23,料率等!E23,SUM(H37:J37))</f>
        <v>0</v>
      </c>
      <c r="I38" s="180"/>
      <c r="J38" s="180"/>
      <c r="K38" s="180">
        <f>IF(SUM(K37:M37)&gt;=料率等!E24,料率等!E24,SUM(K37:M37))</f>
        <v>0</v>
      </c>
      <c r="L38" s="180"/>
      <c r="M38" s="180"/>
      <c r="N38" s="180">
        <f>IF(SUM(N37:P37)&gt;=料率等!E25,料率等!E25,SUM(N37:P37))</f>
        <v>0</v>
      </c>
      <c r="O38" s="180"/>
      <c r="P38" s="181"/>
    </row>
    <row r="39" spans="1:21" ht="19.5" thickBot="1">
      <c r="H39" s="182">
        <f>ROUNDDOWN(H38,-2)</f>
        <v>0</v>
      </c>
      <c r="I39" s="183"/>
      <c r="J39" s="184"/>
      <c r="K39" s="182">
        <f t="shared" ref="K39" si="20">ROUNDDOWN(K38,-2)</f>
        <v>0</v>
      </c>
      <c r="L39" s="183"/>
      <c r="M39" s="184"/>
      <c r="N39" s="183">
        <f t="shared" ref="N39" si="21">ROUNDDOWN(N38,-2)</f>
        <v>0</v>
      </c>
      <c r="O39" s="183"/>
      <c r="P39" s="184"/>
      <c r="R39" s="135">
        <f>SUM(H39:P39)</f>
        <v>0</v>
      </c>
    </row>
    <row r="40" spans="1:21">
      <c r="P40" s="188" t="s">
        <v>93</v>
      </c>
      <c r="Q40" s="188"/>
      <c r="R40" s="107" t="e">
        <f>ROUNDUP(R39/B23,-2)</f>
        <v>#VALUE!</v>
      </c>
    </row>
  </sheetData>
  <customSheetViews>
    <customSheetView guid="{14298813-7872-4CE0-BBAF-FBF5FE57D512}" state="hidden">
      <selection activeCell="C3" sqref="C3"/>
      <pageMargins left="0.7" right="0.7" top="0.75" bottom="0.75" header="0.3" footer="0.3"/>
      <pageSetup paperSize="9" orientation="portrait" r:id="rId1"/>
    </customSheetView>
  </customSheetViews>
  <mergeCells count="15">
    <mergeCell ref="P40:Q40"/>
    <mergeCell ref="E14:P14"/>
    <mergeCell ref="B29:G29"/>
    <mergeCell ref="B28:G28"/>
    <mergeCell ref="Q29:Q30"/>
    <mergeCell ref="R29:R30"/>
    <mergeCell ref="H38:J38"/>
    <mergeCell ref="K38:M38"/>
    <mergeCell ref="N38:P38"/>
    <mergeCell ref="H39:J39"/>
    <mergeCell ref="K39:M39"/>
    <mergeCell ref="N39:P39"/>
    <mergeCell ref="H29:J29"/>
    <mergeCell ref="K29:M29"/>
    <mergeCell ref="N29:P29"/>
  </mergeCells>
  <phoneticPr fontId="2"/>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6363-CAF6-40D1-ABAF-13148DD6CAA7}">
  <sheetPr codeName="Sheet3"/>
  <dimension ref="A1:I25"/>
  <sheetViews>
    <sheetView workbookViewId="0">
      <selection activeCell="E25" sqref="E25"/>
    </sheetView>
  </sheetViews>
  <sheetFormatPr defaultRowHeight="18.75"/>
  <cols>
    <col min="7" max="7" width="15.125" bestFit="1" customWidth="1"/>
    <col min="8" max="8" width="2.5" bestFit="1" customWidth="1"/>
    <col min="9" max="9" width="11" bestFit="1" customWidth="1"/>
  </cols>
  <sheetData>
    <row r="1" spans="1:9">
      <c r="A1" s="4" t="s">
        <v>62</v>
      </c>
      <c r="B1" s="4" t="s">
        <v>63</v>
      </c>
      <c r="D1" s="4" t="s">
        <v>64</v>
      </c>
      <c r="E1" s="20" t="s">
        <v>53</v>
      </c>
      <c r="G1" t="s">
        <v>113</v>
      </c>
    </row>
    <row r="2" spans="1:9">
      <c r="A2" s="4">
        <v>4</v>
      </c>
      <c r="B2" s="4">
        <v>12</v>
      </c>
      <c r="D2" s="4" t="s">
        <v>65</v>
      </c>
      <c r="E2" s="4">
        <v>7.6</v>
      </c>
      <c r="G2" s="4" t="s">
        <v>77</v>
      </c>
      <c r="H2" s="5">
        <v>1</v>
      </c>
      <c r="I2" s="4" t="s">
        <v>29</v>
      </c>
    </row>
    <row r="3" spans="1:9">
      <c r="A3" s="4">
        <v>5</v>
      </c>
      <c r="B3" s="4">
        <v>11</v>
      </c>
      <c r="D3" s="4" t="s">
        <v>66</v>
      </c>
      <c r="E3" s="4">
        <v>2.1</v>
      </c>
      <c r="G3" s="4" t="s">
        <v>76</v>
      </c>
      <c r="H3" s="5">
        <v>2</v>
      </c>
      <c r="I3" s="4" t="s">
        <v>24</v>
      </c>
    </row>
    <row r="4" spans="1:9">
      <c r="A4" s="4">
        <v>6</v>
      </c>
      <c r="B4" s="4">
        <v>10</v>
      </c>
      <c r="D4" s="4" t="s">
        <v>49</v>
      </c>
      <c r="E4" s="4">
        <v>2.1</v>
      </c>
    </row>
    <row r="5" spans="1:9">
      <c r="A5" s="4">
        <v>7</v>
      </c>
      <c r="B5" s="4">
        <v>9</v>
      </c>
    </row>
    <row r="6" spans="1:9">
      <c r="A6" s="4">
        <v>8</v>
      </c>
      <c r="B6" s="4">
        <v>8</v>
      </c>
      <c r="D6" s="4" t="s">
        <v>64</v>
      </c>
      <c r="E6" s="21" t="s">
        <v>54</v>
      </c>
    </row>
    <row r="7" spans="1:9">
      <c r="A7" s="4">
        <v>9</v>
      </c>
      <c r="B7" s="4">
        <v>7</v>
      </c>
      <c r="D7" s="4" t="s">
        <v>65</v>
      </c>
      <c r="E7" s="5">
        <v>30000</v>
      </c>
    </row>
    <row r="8" spans="1:9">
      <c r="A8" s="4">
        <v>10</v>
      </c>
      <c r="B8" s="4">
        <v>6</v>
      </c>
      <c r="D8" s="4" t="s">
        <v>66</v>
      </c>
      <c r="E8" s="5">
        <v>8800</v>
      </c>
    </row>
    <row r="9" spans="1:9">
      <c r="A9" s="4">
        <v>11</v>
      </c>
      <c r="B9" s="4">
        <v>5</v>
      </c>
      <c r="D9" s="4" t="s">
        <v>49</v>
      </c>
      <c r="E9" s="5">
        <v>9200</v>
      </c>
    </row>
    <row r="10" spans="1:9">
      <c r="A10" s="4">
        <v>12</v>
      </c>
      <c r="B10" s="4">
        <v>4</v>
      </c>
      <c r="E10" s="1"/>
    </row>
    <row r="11" spans="1:9">
      <c r="A11" s="4">
        <v>1</v>
      </c>
      <c r="B11" s="4">
        <v>3</v>
      </c>
      <c r="D11" s="4" t="s">
        <v>64</v>
      </c>
      <c r="E11" s="22" t="s">
        <v>55</v>
      </c>
    </row>
    <row r="12" spans="1:9">
      <c r="A12" s="4">
        <v>2</v>
      </c>
      <c r="B12" s="4">
        <v>2</v>
      </c>
      <c r="D12" s="4" t="s">
        <v>65</v>
      </c>
      <c r="E12" s="5">
        <v>20000</v>
      </c>
    </row>
    <row r="13" spans="1:9">
      <c r="A13" s="4">
        <v>3</v>
      </c>
      <c r="B13" s="4">
        <v>1</v>
      </c>
      <c r="D13" s="4" t="s">
        <v>66</v>
      </c>
      <c r="E13" s="5">
        <v>6000</v>
      </c>
    </row>
    <row r="14" spans="1:9">
      <c r="D14" s="4" t="s">
        <v>49</v>
      </c>
      <c r="E14" s="5">
        <v>4400</v>
      </c>
    </row>
    <row r="16" spans="1:9">
      <c r="D16" s="4" t="s">
        <v>67</v>
      </c>
      <c r="E16" s="4"/>
    </row>
    <row r="17" spans="4:5">
      <c r="D17" s="4" t="s">
        <v>35</v>
      </c>
      <c r="E17" s="23">
        <v>0.3</v>
      </c>
    </row>
    <row r="18" spans="4:5">
      <c r="D18" s="4" t="s">
        <v>37</v>
      </c>
      <c r="E18" s="4">
        <v>0.5</v>
      </c>
    </row>
    <row r="19" spans="4:5">
      <c r="D19" s="4" t="s">
        <v>38</v>
      </c>
      <c r="E19" s="4">
        <v>0.8</v>
      </c>
    </row>
    <row r="20" spans="4:5">
      <c r="D20" s="4" t="s">
        <v>68</v>
      </c>
      <c r="E20" s="4">
        <v>1</v>
      </c>
    </row>
    <row r="22" spans="4:5">
      <c r="D22" s="4" t="s">
        <v>122</v>
      </c>
      <c r="E22" s="4"/>
    </row>
    <row r="23" spans="4:5">
      <c r="D23" s="4" t="s">
        <v>44</v>
      </c>
      <c r="E23" s="5">
        <v>650000</v>
      </c>
    </row>
    <row r="24" spans="4:5">
      <c r="D24" s="4" t="s">
        <v>45</v>
      </c>
      <c r="E24" s="5">
        <v>240000</v>
      </c>
    </row>
    <row r="25" spans="4:5">
      <c r="D25" s="4" t="s">
        <v>46</v>
      </c>
      <c r="E25" s="5">
        <v>170000</v>
      </c>
    </row>
  </sheetData>
  <customSheetViews>
    <customSheetView guid="{14298813-7872-4CE0-BBAF-FBF5FE57D512}" state="hidden" topLeftCell="A10">
      <selection activeCell="D17" sqref="D17:E20"/>
      <pageMargins left="0.7" right="0.7" top="0.75" bottom="0.75" header="0.3" footer="0.3"/>
    </customSheetView>
  </customSheetView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69D7B-5953-40B6-BDED-3E54B617F92E}">
  <sheetPr codeName="Sheet4">
    <pageSetUpPr fitToPage="1"/>
  </sheetPr>
  <dimension ref="A1:J41"/>
  <sheetViews>
    <sheetView showGridLines="0" tabSelected="1" view="pageBreakPreview" zoomScale="80" zoomScaleNormal="75" zoomScaleSheetLayoutView="80" workbookViewId="0">
      <selection activeCell="C11" sqref="C11:F13"/>
    </sheetView>
  </sheetViews>
  <sheetFormatPr defaultRowHeight="18.75"/>
  <cols>
    <col min="1" max="1" width="17.375" customWidth="1"/>
    <col min="2" max="5" width="26.25" customWidth="1"/>
    <col min="6" max="6" width="18.25" customWidth="1"/>
  </cols>
  <sheetData>
    <row r="1" spans="1:10" ht="41.25" customHeight="1" thickBot="1">
      <c r="A1" s="202" t="s">
        <v>123</v>
      </c>
      <c r="B1" s="203"/>
      <c r="C1" s="203"/>
      <c r="D1" s="203"/>
      <c r="E1" s="203"/>
      <c r="F1" s="204"/>
    </row>
    <row r="2" spans="1:10" ht="41.25" customHeight="1">
      <c r="A2" s="77" t="s">
        <v>96</v>
      </c>
      <c r="B2" s="34"/>
      <c r="C2" s="34"/>
      <c r="D2" s="34"/>
      <c r="E2" s="34"/>
      <c r="F2" s="60"/>
    </row>
    <row r="3" spans="1:10" ht="41.25" customHeight="1">
      <c r="A3" s="78" t="s">
        <v>120</v>
      </c>
      <c r="B3" s="34"/>
      <c r="C3" s="34"/>
      <c r="D3" s="34"/>
      <c r="E3" s="34"/>
      <c r="F3" s="60"/>
    </row>
    <row r="4" spans="1:10" ht="33.75" customHeight="1" thickBot="1">
      <c r="A4" s="175" t="s">
        <v>121</v>
      </c>
      <c r="B4" s="34"/>
      <c r="C4" s="34"/>
      <c r="D4" s="34"/>
      <c r="E4" s="34"/>
      <c r="F4" s="60"/>
    </row>
    <row r="5" spans="1:10" ht="33.75" customHeight="1" thickBot="1">
      <c r="A5" s="15"/>
      <c r="B5" s="41"/>
      <c r="C5" s="36" t="s">
        <v>92</v>
      </c>
      <c r="D5" s="34"/>
      <c r="E5" s="34"/>
      <c r="F5" s="60"/>
    </row>
    <row r="6" spans="1:10" ht="33.75" customHeight="1" thickBot="1">
      <c r="A6" s="176"/>
      <c r="B6" s="36"/>
      <c r="C6" s="34"/>
      <c r="D6" s="34"/>
      <c r="E6" s="34"/>
      <c r="F6" s="60"/>
    </row>
    <row r="7" spans="1:10" ht="33.75" customHeight="1" thickBot="1">
      <c r="A7" s="15"/>
      <c r="B7" s="35"/>
      <c r="C7" s="36" t="s">
        <v>90</v>
      </c>
      <c r="D7" s="34"/>
      <c r="E7" s="34"/>
      <c r="F7" s="60"/>
    </row>
    <row r="8" spans="1:10" ht="33.75" customHeight="1" thickBot="1">
      <c r="A8" s="61"/>
      <c r="B8" s="15"/>
      <c r="C8" s="15"/>
      <c r="D8" s="15"/>
      <c r="E8" s="15"/>
      <c r="F8" s="62"/>
    </row>
    <row r="9" spans="1:10" ht="33.75" customHeight="1" thickBot="1">
      <c r="A9" s="205" t="s">
        <v>75</v>
      </c>
      <c r="B9" s="206"/>
      <c r="C9" s="206"/>
      <c r="D9" s="206"/>
      <c r="E9" s="206"/>
      <c r="F9" s="207"/>
    </row>
    <row r="10" spans="1:10" ht="33.75" customHeight="1">
      <c r="A10" s="63" t="s">
        <v>89</v>
      </c>
      <c r="B10" s="64"/>
      <c r="C10" s="64"/>
      <c r="D10" s="64"/>
      <c r="E10" s="64"/>
      <c r="F10" s="65"/>
      <c r="G10" s="26"/>
      <c r="H10" s="26"/>
      <c r="I10" s="26"/>
      <c r="J10" s="26"/>
    </row>
    <row r="11" spans="1:10" ht="33.75" customHeight="1" thickBot="1">
      <c r="A11" s="63"/>
      <c r="B11" s="64"/>
      <c r="C11" s="213" t="str">
        <f>IF(COUNTIF(試算!C2,"*選んでください*")=1,試算!C2,"")</f>
        <v/>
      </c>
      <c r="D11" s="213"/>
      <c r="E11" s="213"/>
      <c r="F11" s="214"/>
      <c r="G11" s="26"/>
      <c r="H11" s="26"/>
      <c r="I11" s="26"/>
      <c r="J11" s="26"/>
    </row>
    <row r="12" spans="1:10" ht="33.75" customHeight="1" thickBot="1">
      <c r="A12" s="211"/>
      <c r="B12" s="212"/>
      <c r="C12" s="213"/>
      <c r="D12" s="213"/>
      <c r="E12" s="213"/>
      <c r="F12" s="214"/>
    </row>
    <row r="13" spans="1:10" ht="33.75" customHeight="1" thickBot="1">
      <c r="A13" s="66"/>
      <c r="B13" s="59"/>
      <c r="C13" s="213"/>
      <c r="D13" s="213"/>
      <c r="E13" s="213"/>
      <c r="F13" s="214"/>
    </row>
    <row r="14" spans="1:10" ht="33.75" customHeight="1" thickBot="1">
      <c r="A14" s="205" t="s">
        <v>78</v>
      </c>
      <c r="B14" s="206"/>
      <c r="C14" s="206"/>
      <c r="D14" s="206"/>
      <c r="E14" s="206"/>
      <c r="F14" s="207"/>
    </row>
    <row r="15" spans="1:10" ht="33.75" customHeight="1">
      <c r="A15" s="67" t="s">
        <v>124</v>
      </c>
      <c r="B15" s="15"/>
      <c r="C15" s="15"/>
      <c r="D15" s="15"/>
      <c r="E15" s="15"/>
      <c r="F15" s="62"/>
    </row>
    <row r="16" spans="1:10" ht="33.75" customHeight="1">
      <c r="A16" s="68" t="s">
        <v>86</v>
      </c>
      <c r="B16" s="15"/>
      <c r="C16" s="15"/>
      <c r="D16" s="15"/>
      <c r="E16" s="15"/>
      <c r="F16" s="62"/>
    </row>
    <row r="17" spans="1:6" ht="33.75" customHeight="1">
      <c r="A17" s="68" t="s">
        <v>88</v>
      </c>
      <c r="B17" s="15"/>
      <c r="C17" s="15"/>
      <c r="D17" s="15"/>
      <c r="E17" s="15"/>
      <c r="F17" s="62"/>
    </row>
    <row r="18" spans="1:6" ht="33.75" customHeight="1" thickBot="1">
      <c r="A18" s="68" t="s">
        <v>87</v>
      </c>
      <c r="B18" s="15"/>
      <c r="C18" s="15"/>
      <c r="D18" s="15"/>
      <c r="E18" s="15"/>
      <c r="F18" s="62"/>
    </row>
    <row r="19" spans="1:6" ht="33.75" customHeight="1" thickBot="1">
      <c r="A19" s="37" t="s">
        <v>10</v>
      </c>
      <c r="B19" s="31" t="s">
        <v>16</v>
      </c>
      <c r="C19" s="32" t="s">
        <v>7</v>
      </c>
      <c r="D19" s="32" t="s">
        <v>8</v>
      </c>
      <c r="E19" s="46" t="s">
        <v>79</v>
      </c>
      <c r="F19" s="28" t="s">
        <v>80</v>
      </c>
    </row>
    <row r="20" spans="1:6" ht="33.75" customHeight="1">
      <c r="A20" s="42" t="s">
        <v>91</v>
      </c>
      <c r="B20" s="43">
        <v>21916</v>
      </c>
      <c r="C20" s="44">
        <v>2500000</v>
      </c>
      <c r="D20" s="44">
        <v>850000</v>
      </c>
      <c r="E20" s="45">
        <v>-650000</v>
      </c>
      <c r="F20" s="47"/>
    </row>
    <row r="21" spans="1:6" ht="33.75" customHeight="1">
      <c r="A21" s="38" t="s">
        <v>9</v>
      </c>
      <c r="B21" s="48"/>
      <c r="C21" s="49"/>
      <c r="D21" s="49"/>
      <c r="E21" s="50"/>
      <c r="F21" s="29" t="str">
        <f>試算!F5</f>
        <v/>
      </c>
    </row>
    <row r="22" spans="1:6" ht="33.75" customHeight="1">
      <c r="A22" s="39" t="s">
        <v>11</v>
      </c>
      <c r="B22" s="51"/>
      <c r="C22" s="52"/>
      <c r="D22" s="52"/>
      <c r="E22" s="53"/>
      <c r="F22" s="29" t="str">
        <f>試算!F6</f>
        <v/>
      </c>
    </row>
    <row r="23" spans="1:6" ht="33.75" customHeight="1">
      <c r="A23" s="39" t="s">
        <v>12</v>
      </c>
      <c r="B23" s="51"/>
      <c r="C23" s="52"/>
      <c r="D23" s="52"/>
      <c r="E23" s="53"/>
      <c r="F23" s="29" t="str">
        <f>試算!F7</f>
        <v/>
      </c>
    </row>
    <row r="24" spans="1:6" ht="33.75" customHeight="1">
      <c r="A24" s="39" t="s">
        <v>13</v>
      </c>
      <c r="B24" s="51"/>
      <c r="C24" s="52"/>
      <c r="D24" s="52"/>
      <c r="E24" s="53"/>
      <c r="F24" s="29" t="str">
        <f>試算!F8</f>
        <v/>
      </c>
    </row>
    <row r="25" spans="1:6" ht="33.75" customHeight="1">
      <c r="A25" s="39" t="s">
        <v>14</v>
      </c>
      <c r="B25" s="51"/>
      <c r="C25" s="52"/>
      <c r="D25" s="52"/>
      <c r="E25" s="53"/>
      <c r="F25" s="29" t="str">
        <f>試算!F9</f>
        <v/>
      </c>
    </row>
    <row r="26" spans="1:6" ht="33.75" customHeight="1" thickBot="1">
      <c r="A26" s="40" t="s">
        <v>15</v>
      </c>
      <c r="B26" s="54"/>
      <c r="C26" s="55"/>
      <c r="D26" s="56"/>
      <c r="E26" s="57"/>
      <c r="F26" s="30" t="str">
        <f>試算!F10</f>
        <v/>
      </c>
    </row>
    <row r="27" spans="1:6" ht="33.75" customHeight="1" thickBot="1">
      <c r="A27" s="61"/>
      <c r="B27" s="15"/>
      <c r="C27" s="15"/>
      <c r="D27" s="15"/>
      <c r="E27" s="15"/>
      <c r="F27" s="62"/>
    </row>
    <row r="28" spans="1:6" ht="33.75" customHeight="1" thickBot="1">
      <c r="A28" s="205" t="s">
        <v>81</v>
      </c>
      <c r="B28" s="206"/>
      <c r="C28" s="206"/>
      <c r="D28" s="206"/>
      <c r="E28" s="206"/>
      <c r="F28" s="207"/>
    </row>
    <row r="29" spans="1:6" ht="33.75" customHeight="1" thickBot="1">
      <c r="A29" s="69" t="s">
        <v>119</v>
      </c>
      <c r="B29" s="70"/>
      <c r="C29" s="70"/>
      <c r="D29" s="70"/>
      <c r="E29" s="70"/>
      <c r="F29" s="71"/>
    </row>
    <row r="30" spans="1:6" ht="33.75" customHeight="1" thickBot="1">
      <c r="A30" s="27" t="s">
        <v>82</v>
      </c>
      <c r="B30" s="58"/>
      <c r="C30" s="72" t="s">
        <v>83</v>
      </c>
      <c r="D30" s="15"/>
      <c r="E30" s="15"/>
      <c r="F30" s="62"/>
    </row>
    <row r="31" spans="1:6" ht="33.75" customHeight="1" thickBot="1">
      <c r="A31" s="85"/>
      <c r="B31" s="86"/>
      <c r="C31" s="87"/>
      <c r="D31" s="33"/>
      <c r="E31" s="33"/>
      <c r="F31" s="73"/>
    </row>
    <row r="32" spans="1:6" ht="33.75" customHeight="1" thickTop="1" thickBot="1">
      <c r="A32" s="61"/>
      <c r="B32" s="15"/>
      <c r="C32" s="15"/>
      <c r="D32" s="15"/>
      <c r="E32" s="15"/>
      <c r="F32" s="62"/>
    </row>
    <row r="33" spans="1:6" ht="33.75" customHeight="1" thickBot="1">
      <c r="A33" s="208" t="s">
        <v>84</v>
      </c>
      <c r="B33" s="209"/>
      <c r="C33" s="209"/>
      <c r="D33" s="209"/>
      <c r="E33" s="209"/>
      <c r="F33" s="210"/>
    </row>
    <row r="34" spans="1:6" ht="24">
      <c r="A34" s="196" t="s">
        <v>85</v>
      </c>
      <c r="B34" s="197"/>
      <c r="C34" s="197"/>
      <c r="D34" s="197"/>
      <c r="E34" s="197"/>
      <c r="F34" s="198"/>
    </row>
    <row r="35" spans="1:6" ht="24">
      <c r="A35" s="88" t="s">
        <v>94</v>
      </c>
      <c r="B35" s="83"/>
      <c r="C35" s="83"/>
      <c r="D35" s="83"/>
      <c r="E35" s="83"/>
      <c r="F35" s="84"/>
    </row>
    <row r="36" spans="1:6" ht="33.75" customHeight="1">
      <c r="A36" s="200" t="s">
        <v>125</v>
      </c>
      <c r="B36" s="201"/>
      <c r="C36" s="174">
        <f>IFERROR(IF(C11&lt;&gt;"","世帯主の入力にエラーがあります",試算!R39),"")</f>
        <v>0</v>
      </c>
      <c r="D36" s="92" t="str">
        <f>IF(A40&lt;&gt;"","※試算内容の注意あり・下記参照","")</f>
        <v/>
      </c>
      <c r="E36" s="15"/>
      <c r="F36" s="62"/>
    </row>
    <row r="37" spans="1:6" ht="33.75" customHeight="1">
      <c r="A37" s="61"/>
      <c r="B37" s="75" t="str">
        <f>"（国民健康保険加入期間："&amp;試算!B23&amp;"カ月"&amp;"）"</f>
        <v>（国民健康保険加入期間：カ月）</v>
      </c>
      <c r="C37" s="74"/>
      <c r="D37" s="76"/>
      <c r="E37" s="15"/>
      <c r="F37" s="62"/>
    </row>
    <row r="38" spans="1:6" ht="33.75" customHeight="1">
      <c r="A38" s="200" t="s">
        <v>95</v>
      </c>
      <c r="B38" s="201"/>
      <c r="C38" s="74" t="str">
        <f>IFERROR(IF(COUNTIF(試算シート!C36,"*エラー*")&gt;=1,"",試算!R40),"")</f>
        <v/>
      </c>
      <c r="D38" s="15"/>
      <c r="E38" s="15"/>
      <c r="F38" s="62"/>
    </row>
    <row r="39" spans="1:6" ht="33.75" customHeight="1">
      <c r="A39" s="61"/>
      <c r="B39" s="90" t="s">
        <v>107</v>
      </c>
      <c r="C39" s="70"/>
      <c r="D39" s="15"/>
      <c r="E39" s="15"/>
      <c r="F39" s="62"/>
    </row>
    <row r="40" spans="1:6" ht="41.25" customHeight="1">
      <c r="A40" s="91" t="str">
        <f>IF($B40="","","注意")</f>
        <v/>
      </c>
      <c r="B40" s="199" t="str">
        <f>IF(AND(試算!$B$28="",試算!$B$29=""),"",IF(AND(試算!$B$28="",試算!$B$29&lt;&gt;""),試算!$B$29,試算!$B$28))</f>
        <v/>
      </c>
      <c r="C40" s="199"/>
      <c r="D40" s="199"/>
      <c r="E40" s="199"/>
      <c r="F40" s="199"/>
    </row>
    <row r="41" spans="1:6" ht="41.25" customHeight="1">
      <c r="A41" s="89" t="str">
        <f>IF($B41="","","注意")</f>
        <v/>
      </c>
      <c r="B41" s="194" t="str">
        <f>IF(試算!$B28&lt;&gt;"",試算!$B$29,"")</f>
        <v/>
      </c>
      <c r="C41" s="194"/>
      <c r="D41" s="194"/>
      <c r="E41" s="194"/>
      <c r="F41" s="195"/>
    </row>
  </sheetData>
  <sheetProtection algorithmName="SHA-512" hashValue="OFsmHM/Pb/chiS3FPMzJk0MnAYhwAy42LT/lfm32jAEZbleniZgZR4WrlIk2jSwkBae3FD3PJQauEZatCCHzVQ==" saltValue="bmZruUjuPzxlI6tTXBwXzQ==" spinCount="100000" sheet="1" objects="1" scenarios="1"/>
  <customSheetViews>
    <customSheetView guid="{14298813-7872-4CE0-BBAF-FBF5FE57D512}" scale="50" showPageBreaks="1" showGridLines="0" showRowCol="0" printArea="1" view="pageBreakPreview">
      <pane ySplit="5" topLeftCell="A6" activePane="bottomLeft" state="frozen"/>
      <selection pane="bottomLeft" activeCell="C8" sqref="C8:F9"/>
      <colBreaks count="1" manualBreakCount="1">
        <brk id="6" max="1048575" man="1"/>
      </colBreaks>
      <pageMargins left="0.7" right="0.7" top="0.75" bottom="0.75" header="0.3" footer="0.3"/>
      <pageSetup paperSize="9" scale="57" orientation="portrait" r:id="rId1"/>
    </customSheetView>
  </customSheetViews>
  <mergeCells count="12">
    <mergeCell ref="A1:F1"/>
    <mergeCell ref="A9:F9"/>
    <mergeCell ref="A14:F14"/>
    <mergeCell ref="A28:F28"/>
    <mergeCell ref="A33:F33"/>
    <mergeCell ref="A12:B12"/>
    <mergeCell ref="C11:F13"/>
    <mergeCell ref="B41:F41"/>
    <mergeCell ref="A34:F34"/>
    <mergeCell ref="B40:F40"/>
    <mergeCell ref="A38:B38"/>
    <mergeCell ref="A36:B36"/>
  </mergeCells>
  <phoneticPr fontId="2"/>
  <conditionalFormatting sqref="C36">
    <cfRule type="containsText" dxfId="2" priority="3" operator="containsText" text="エラー">
      <formula>NOT(ISERROR(SEARCH("エラー",C36)))</formula>
    </cfRule>
  </conditionalFormatting>
  <conditionalFormatting sqref="A40">
    <cfRule type="containsText" dxfId="1" priority="2" operator="containsText" text="注意">
      <formula>NOT(ISERROR(SEARCH("注意",A40)))</formula>
    </cfRule>
  </conditionalFormatting>
  <conditionalFormatting sqref="A41">
    <cfRule type="containsText" dxfId="0" priority="1" operator="containsText" text="注意">
      <formula>NOT(ISERROR(SEARCH("注意",A41)))</formula>
    </cfRule>
  </conditionalFormatting>
  <printOptions horizontalCentered="1"/>
  <pageMargins left="0.70866141732283472" right="0.70866141732283472" top="0.74803149606299213" bottom="0.74803149606299213" header="0.31496062992125984" footer="0.31496062992125984"/>
  <pageSetup paperSize="9" scale="53" fitToWidth="0" orientation="portrait" r:id="rId2"/>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95B97A95-23E0-4980-A403-CC96C254C6A7}">
          <x14:formula1>
            <xm:f>料率等!$A$2:$A$13</xm:f>
          </x14:formula1>
          <xm:sqref>B30</xm:sqref>
        </x14:dataValidation>
        <x14:dataValidation type="list" allowBlank="1" showInputMessage="1" showErrorMessage="1" xr:uid="{CA83742E-598D-4372-AB03-B85BA7E4A5DC}">
          <x14:formula1>
            <xm:f>料率等!$G$2:$G$3</xm:f>
          </x14:formula1>
          <xm:sqref>A12:B12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vt:lpstr>
      <vt:lpstr>試算</vt:lpstr>
      <vt:lpstr>料率等</vt:lpstr>
      <vt:lpstr>試算シート</vt:lpstr>
      <vt:lpstr>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由希子</dc:creator>
  <cp:lastModifiedBy>金丸 元気</cp:lastModifiedBy>
  <cp:lastPrinted>2023-07-24T06:37:24Z</cp:lastPrinted>
  <dcterms:created xsi:type="dcterms:W3CDTF">2023-07-19T23:06:03Z</dcterms:created>
  <dcterms:modified xsi:type="dcterms:W3CDTF">2024-05-17T00:40:55Z</dcterms:modified>
</cp:coreProperties>
</file>